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isecity.sharepoint.com/sites/TEAM-PDS-HCD/Shared Documents/HCD Operations/Project Origination  (agreements, loans, underwriting)/Loan Underwriting/"/>
    </mc:Choice>
  </mc:AlternateContent>
  <xr:revisionPtr revIDLastSave="183" documentId="8_{5219FE76-BCC6-47C6-999D-A145454B5131}" xr6:coauthVersionLast="47" xr6:coauthVersionMax="47" xr10:uidLastSave="{8140BABA-6A72-4D70-8245-645824C51FD9}"/>
  <workbookProtection workbookAlgorithmName="SHA-512" workbookHashValue="hEt/IQr3QL9YeyI+UQwXSlCQpynw7FIoXZ85SkzW4X0IGBDYd9bV0X2j4QklSGUNteFUl88IIOyoLH62gdb26Q==" workbookSaltValue="JHmyRiVtfbRK5Pxjh0oswQ==" workbookSpinCount="100000" lockStructure="1"/>
  <bookViews>
    <workbookView xWindow="28680" yWindow="-120" windowWidth="29040" windowHeight="15840" tabRatio="674" xr2:uid="{4DD10999-0D8C-49B8-8437-F420C0EDA730}"/>
  </bookViews>
  <sheets>
    <sheet name="1)Summary &amp; Gap" sheetId="7" r:id="rId1"/>
    <sheet name="2)Units&amp;Revenue" sheetId="1" r:id="rId2"/>
    <sheet name="3)Operating Budget" sheetId="2" r:id="rId3"/>
    <sheet name="4)20 Yr Projection" sheetId="8" r:id="rId4"/>
    <sheet name="5)Dev Budget" sheetId="11" r:id="rId5"/>
    <sheet name="6)TC Equity" sheetId="12" r:id="rId6"/>
    <sheet name="7)Const Cash Flow" sheetId="5" r:id="rId7"/>
    <sheet name="8)Lease-Up" sheetId="14" r:id="rId8"/>
    <sheet name="Validations" sheetId="13" state="hidden" r:id="rId9"/>
  </sheets>
  <externalReferences>
    <externalReference r:id="rId10"/>
  </externalReferences>
  <definedNames>
    <definedName name="DDF">'1)Summary &amp; Gap'!$D$58</definedName>
    <definedName name="Developer">'1)Summary &amp; Gap'!$C$10</definedName>
    <definedName name="Equity">'6)TC Equity'!$B$25</definedName>
    <definedName name="Gap">'1)Summary &amp; Gap'!$D$61</definedName>
    <definedName name="HAU">'[1]1)Summary'!$C$22</definedName>
    <definedName name="HOME">'1)Summary &amp; Gap'!$D$53</definedName>
    <definedName name="MktUnits">'1)Summary &amp; Gap'!$G$25</definedName>
    <definedName name="_xlnm.Print_Area" localSheetId="0">'1)Summary &amp; Gap'!$A$1:$G$62</definedName>
    <definedName name="_xlnm.Print_Area" localSheetId="1">'2)Units&amp;Revenue'!$B$1:$P$64</definedName>
    <definedName name="_xlnm.Print_Area" localSheetId="2">'3)Operating Budget'!$A$1:$G$77</definedName>
    <definedName name="_xlnm.Print_Area" localSheetId="4">'5)Dev Budget'!$B$1:$K$106</definedName>
    <definedName name="_xlnm.Print_Area" localSheetId="6">'7)Const Cash Flow'!$A$1:$AP$34</definedName>
    <definedName name="_xlnm.Print_Titles" localSheetId="3">'4)20 Yr Projection'!$A:$B</definedName>
    <definedName name="_xlnm.Print_Titles" localSheetId="6">'7)Const Cash Flow'!$A:$B</definedName>
    <definedName name="Project">'1)Summary &amp; Gap'!$C$4</definedName>
    <definedName name="Rents">'2)Units&amp;Revenue'!$C$87:$J$91</definedName>
    <definedName name="SqFt">'2)Units&amp;Revenue'!$P$54</definedName>
    <definedName name="TDC">'5)Dev Budget'!$F$106</definedName>
    <definedName name="UA0B">'2)Units&amp;Revenue'!$L$58</definedName>
    <definedName name="UA1B">'2)Units&amp;Revenue'!$L$59</definedName>
    <definedName name="UA2B">'2)Units&amp;Revenue'!$L$60</definedName>
    <definedName name="UA3B">'2)Units&amp;Revenue'!$L$61</definedName>
    <definedName name="UA4B">'2)Units&amp;Revenue'!$L$62</definedName>
    <definedName name="UAFour">'2)Units&amp;Revenue'!$L$62</definedName>
    <definedName name="UAOne">'2)Units&amp;Revenue'!$L$59</definedName>
    <definedName name="UAThree">'2)Units&amp;Revenue'!$L$61</definedName>
    <definedName name="UATwo">'2)Units&amp;Revenue'!$L$60</definedName>
    <definedName name="UAZero">'2)Units&amp;Revenue'!$L$58</definedName>
    <definedName name="Units">'2)Units&amp;Revenue'!$C$54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7" l="1"/>
  <c r="A46" i="7"/>
  <c r="D40" i="7"/>
  <c r="A40" i="7"/>
  <c r="A42" i="7"/>
  <c r="A41" i="7"/>
  <c r="D42" i="7"/>
  <c r="D41" i="7"/>
  <c r="I100" i="11" l="1"/>
  <c r="H100" i="11"/>
  <c r="H72" i="11"/>
  <c r="F42" i="11"/>
  <c r="F36" i="11"/>
  <c r="F63" i="11"/>
  <c r="F72" i="11"/>
  <c r="F87" i="11"/>
  <c r="I33" i="11"/>
  <c r="H33" i="11"/>
  <c r="I40" i="11"/>
  <c r="H40" i="11"/>
  <c r="I39" i="11"/>
  <c r="H39" i="11"/>
  <c r="I61" i="11"/>
  <c r="H61" i="11"/>
  <c r="I60" i="11"/>
  <c r="H60" i="11"/>
  <c r="I59" i="11"/>
  <c r="H59" i="11"/>
  <c r="I58" i="11"/>
  <c r="H58" i="11"/>
  <c r="I57" i="11"/>
  <c r="H57" i="11"/>
  <c r="I56" i="11"/>
  <c r="H56" i="11"/>
  <c r="I89" i="11"/>
  <c r="H89" i="11"/>
  <c r="H6" i="11"/>
  <c r="I6" i="11"/>
  <c r="H7" i="11"/>
  <c r="I7" i="11"/>
  <c r="H8" i="11"/>
  <c r="I8" i="11"/>
  <c r="H18" i="11"/>
  <c r="H16" i="11"/>
  <c r="I16" i="11"/>
  <c r="H14" i="11"/>
  <c r="I14" i="11"/>
  <c r="I26" i="11" l="1"/>
  <c r="H26" i="11"/>
  <c r="H53" i="11"/>
  <c r="I53" i="11"/>
  <c r="C75" i="2"/>
  <c r="I38" i="11"/>
  <c r="H38" i="11"/>
  <c r="C57" i="2"/>
  <c r="C26" i="5"/>
  <c r="D4" i="5"/>
  <c r="E4" i="5" s="1"/>
  <c r="F4" i="5" s="1"/>
  <c r="G4" i="5" s="1"/>
  <c r="H4" i="5" s="1"/>
  <c r="I4" i="5" s="1"/>
  <c r="J4" i="5" s="1"/>
  <c r="K4" i="5" s="1"/>
  <c r="L4" i="5" s="1"/>
  <c r="M4" i="5" s="1"/>
  <c r="N4" i="5" s="1"/>
  <c r="O4" i="5" s="1"/>
  <c r="P4" i="5" s="1"/>
  <c r="Q4" i="5" s="1"/>
  <c r="R4" i="5" s="1"/>
  <c r="S4" i="5" s="1"/>
  <c r="T4" i="5" s="1"/>
  <c r="U4" i="5" s="1"/>
  <c r="C40" i="8"/>
  <c r="AO10" i="5" l="1"/>
  <c r="N14" i="1" l="1"/>
  <c r="C13" i="14"/>
  <c r="AI1" i="5"/>
  <c r="AB1" i="5"/>
  <c r="N29" i="1"/>
  <c r="N28" i="1"/>
  <c r="N49" i="1"/>
  <c r="N48" i="1"/>
  <c r="N47" i="1"/>
  <c r="N46" i="1"/>
  <c r="N45" i="1"/>
  <c r="N44" i="1"/>
  <c r="N39" i="1"/>
  <c r="N38" i="1"/>
  <c r="N36" i="1"/>
  <c r="N35" i="1"/>
  <c r="N37" i="1"/>
  <c r="N34" i="1"/>
  <c r="N27" i="1"/>
  <c r="N26" i="1"/>
  <c r="N25" i="1"/>
  <c r="N24" i="1"/>
  <c r="N19" i="1"/>
  <c r="N18" i="1"/>
  <c r="N17" i="1"/>
  <c r="N16" i="1"/>
  <c r="N15" i="1"/>
  <c r="N9" i="1"/>
  <c r="N8" i="1"/>
  <c r="N7" i="1"/>
  <c r="N6" i="1"/>
  <c r="N5" i="1"/>
  <c r="N4" i="1"/>
  <c r="L19" i="1" a="1"/>
  <c r="L19" i="1" s="1"/>
  <c r="K19" i="1"/>
  <c r="M19" i="1" s="1"/>
  <c r="L18" i="1" a="1"/>
  <c r="L18" i="1" s="1"/>
  <c r="K18" i="1"/>
  <c r="O18" i="1" s="1"/>
  <c r="L15" i="1" a="1"/>
  <c r="L15" i="1" s="1"/>
  <c r="K15" i="1"/>
  <c r="M15" i="1" s="1"/>
  <c r="A43" i="1"/>
  <c r="A50" i="1" s="1"/>
  <c r="A33" i="1"/>
  <c r="A39" i="1" s="1"/>
  <c r="A23" i="1"/>
  <c r="A29" i="1" s="1"/>
  <c r="A13" i="1"/>
  <c r="A20" i="1" s="1"/>
  <c r="A3" i="1"/>
  <c r="A8" i="1" s="1"/>
  <c r="O15" i="1" l="1"/>
  <c r="M18" i="1"/>
  <c r="O19" i="1"/>
  <c r="A9" i="1"/>
  <c r="A10" i="1"/>
  <c r="A4" i="1"/>
  <c r="A5" i="1"/>
  <c r="A6" i="1"/>
  <c r="A7" i="1"/>
  <c r="A45" i="1"/>
  <c r="A44" i="1"/>
  <c r="A46" i="1"/>
  <c r="A48" i="1"/>
  <c r="A47" i="1"/>
  <c r="A49" i="1"/>
  <c r="A34" i="1"/>
  <c r="A35" i="1"/>
  <c r="A36" i="1"/>
  <c r="A37" i="1"/>
  <c r="A40" i="1"/>
  <c r="A38" i="1"/>
  <c r="A24" i="1"/>
  <c r="A30" i="1"/>
  <c r="A25" i="1"/>
  <c r="A26" i="1"/>
  <c r="A27" i="1"/>
  <c r="A28" i="1"/>
  <c r="A14" i="1"/>
  <c r="A15" i="1"/>
  <c r="A16" i="1"/>
  <c r="A17" i="1"/>
  <c r="A18" i="1"/>
  <c r="A19" i="1"/>
  <c r="B1" i="1" l="1"/>
  <c r="J10" i="1"/>
  <c r="J9" i="1"/>
  <c r="J8" i="1"/>
  <c r="J7" i="1"/>
  <c r="J6" i="1"/>
  <c r="J5" i="1"/>
  <c r="J4" i="1"/>
  <c r="J20" i="1"/>
  <c r="K20" i="1" s="1"/>
  <c r="J19" i="1"/>
  <c r="J18" i="1"/>
  <c r="J17" i="1"/>
  <c r="K17" i="1" s="1"/>
  <c r="J16" i="1"/>
  <c r="K16" i="1" s="1"/>
  <c r="J15" i="1"/>
  <c r="J14" i="1"/>
  <c r="K14" i="1" s="1"/>
  <c r="O14" i="1" s="1"/>
  <c r="J30" i="1"/>
  <c r="J29" i="1"/>
  <c r="J28" i="1"/>
  <c r="J27" i="1"/>
  <c r="J26" i="1"/>
  <c r="J25" i="1"/>
  <c r="J24" i="1"/>
  <c r="J40" i="1"/>
  <c r="J39" i="1"/>
  <c r="J38" i="1"/>
  <c r="J37" i="1"/>
  <c r="J36" i="1"/>
  <c r="J35" i="1"/>
  <c r="J34" i="1"/>
  <c r="V1" i="5"/>
  <c r="Q1" i="5"/>
  <c r="J1" i="5"/>
  <c r="C1" i="5"/>
  <c r="B1" i="14"/>
  <c r="A1" i="12"/>
  <c r="B1" i="11"/>
  <c r="M1" i="8"/>
  <c r="C1" i="8"/>
  <c r="A1" i="2"/>
  <c r="I61" i="1"/>
  <c r="O16" i="1" l="1"/>
  <c r="O17" i="1"/>
  <c r="I47" i="11"/>
  <c r="H47" i="11"/>
  <c r="I46" i="11"/>
  <c r="H46" i="11"/>
  <c r="B14" i="14"/>
  <c r="G14" i="14" s="1"/>
  <c r="E2" i="14"/>
  <c r="B2" i="14"/>
  <c r="H5" i="11"/>
  <c r="I65" i="11"/>
  <c r="F10" i="11"/>
  <c r="I24" i="11"/>
  <c r="H24" i="11"/>
  <c r="I9" i="11"/>
  <c r="H9" i="11"/>
  <c r="I35" i="11"/>
  <c r="H35" i="11"/>
  <c r="B18" i="8"/>
  <c r="B16" i="8"/>
  <c r="B15" i="8"/>
  <c r="B13" i="8"/>
  <c r="B14" i="8" s="1"/>
  <c r="C42" i="8"/>
  <c r="B15" i="14" l="1"/>
  <c r="G15" i="14" s="1"/>
  <c r="H10" i="11"/>
  <c r="B16" i="14" l="1"/>
  <c r="G16" i="14" s="1"/>
  <c r="B17" i="14" l="1"/>
  <c r="G17" i="14" s="1"/>
  <c r="B18" i="14" l="1"/>
  <c r="G18" i="14" s="1"/>
  <c r="B19" i="14" l="1"/>
  <c r="G19" i="14" s="1"/>
  <c r="B20" i="14" l="1"/>
  <c r="G20" i="14" s="1"/>
  <c r="B21" i="14" l="1"/>
  <c r="G21" i="14" s="1"/>
  <c r="B22" i="14" l="1"/>
  <c r="G22" i="14" s="1"/>
  <c r="B23" i="14" l="1"/>
  <c r="G23" i="14" s="1"/>
  <c r="B24" i="14" l="1"/>
  <c r="G24" i="14" s="1"/>
  <c r="B25" i="14" l="1"/>
  <c r="G25" i="14" s="1"/>
  <c r="B26" i="14" l="1"/>
  <c r="D26" i="14" s="1"/>
  <c r="E26" i="14" s="1"/>
  <c r="G26" i="14"/>
  <c r="B27" i="14"/>
  <c r="F26" i="14"/>
  <c r="G27" i="14" l="1"/>
  <c r="H26" i="14"/>
  <c r="I26" i="14" s="1"/>
  <c r="B28" i="14"/>
  <c r="D27" i="14"/>
  <c r="E27" i="14" s="1"/>
  <c r="F27" i="14"/>
  <c r="G28" i="14" l="1"/>
  <c r="H27" i="14"/>
  <c r="I27" i="14" s="1"/>
  <c r="D28" i="14"/>
  <c r="E28" i="14" s="1"/>
  <c r="B29" i="14"/>
  <c r="F28" i="14"/>
  <c r="G29" i="14" l="1"/>
  <c r="H28" i="14"/>
  <c r="I28" i="14" s="1"/>
  <c r="D29" i="14"/>
  <c r="E29" i="14" s="1"/>
  <c r="B30" i="14"/>
  <c r="F29" i="14"/>
  <c r="G30" i="14" l="1"/>
  <c r="H29" i="14"/>
  <c r="I29" i="14" s="1"/>
  <c r="F30" i="14"/>
  <c r="D30" i="14"/>
  <c r="E30" i="14" s="1"/>
  <c r="B31" i="14"/>
  <c r="G31" i="14" l="1"/>
  <c r="F31" i="14"/>
  <c r="D31" i="14"/>
  <c r="E31" i="14" s="1"/>
  <c r="B32" i="14"/>
  <c r="H30" i="14"/>
  <c r="I30" i="14" s="1"/>
  <c r="G32" i="14" l="1"/>
  <c r="H31" i="14"/>
  <c r="I31" i="14" s="1"/>
  <c r="F32" i="14"/>
  <c r="D32" i="14"/>
  <c r="E32" i="14" s="1"/>
  <c r="B33" i="14"/>
  <c r="G33" i="14" l="1"/>
  <c r="H32" i="14"/>
  <c r="I32" i="14" s="1"/>
  <c r="F33" i="14"/>
  <c r="D33" i="14"/>
  <c r="E33" i="14" s="1"/>
  <c r="B34" i="14"/>
  <c r="G34" i="14" l="1"/>
  <c r="H33" i="14"/>
  <c r="I33" i="14" s="1"/>
  <c r="B35" i="14"/>
  <c r="F34" i="14"/>
  <c r="D34" i="14"/>
  <c r="E34" i="14" s="1"/>
  <c r="G35" i="14" l="1"/>
  <c r="H34" i="14"/>
  <c r="I34" i="14" s="1"/>
  <c r="B36" i="14"/>
  <c r="F35" i="14"/>
  <c r="D35" i="14"/>
  <c r="E35" i="14" s="1"/>
  <c r="G36" i="14" l="1"/>
  <c r="H35" i="14"/>
  <c r="I35" i="14" s="1"/>
  <c r="D36" i="14"/>
  <c r="E36" i="14" s="1"/>
  <c r="B37" i="14"/>
  <c r="F36" i="14"/>
  <c r="G37" i="14" l="1"/>
  <c r="H36" i="14"/>
  <c r="I36" i="14" s="1"/>
  <c r="F37" i="14"/>
  <c r="D37" i="14"/>
  <c r="E37" i="14" s="1"/>
  <c r="B38" i="14"/>
  <c r="G38" i="14" l="1"/>
  <c r="H37" i="14"/>
  <c r="I37" i="14" s="1"/>
  <c r="F38" i="14"/>
  <c r="D38" i="14"/>
  <c r="E38" i="14" s="1"/>
  <c r="B39" i="14"/>
  <c r="G39" i="14" l="1"/>
  <c r="H38" i="14"/>
  <c r="I38" i="14" s="1"/>
  <c r="F39" i="14"/>
  <c r="D39" i="14"/>
  <c r="E39" i="14" s="1"/>
  <c r="B40" i="14"/>
  <c r="G40" i="14" l="1"/>
  <c r="F40" i="14"/>
  <c r="D40" i="14"/>
  <c r="E40" i="14" s="1"/>
  <c r="B41" i="14"/>
  <c r="H39" i="14"/>
  <c r="I39" i="14" s="1"/>
  <c r="G41" i="14" l="1"/>
  <c r="H40" i="14"/>
  <c r="I40" i="14" s="1"/>
  <c r="F41" i="14"/>
  <c r="B42" i="14"/>
  <c r="D41" i="14"/>
  <c r="E41" i="14" s="1"/>
  <c r="G42" i="14" l="1"/>
  <c r="B43" i="14"/>
  <c r="F42" i="14"/>
  <c r="D42" i="14"/>
  <c r="E42" i="14" s="1"/>
  <c r="H41" i="14"/>
  <c r="I41" i="14" s="1"/>
  <c r="G43" i="14" l="1"/>
  <c r="H42" i="14"/>
  <c r="I42" i="14" s="1"/>
  <c r="B44" i="14"/>
  <c r="D43" i="14"/>
  <c r="E43" i="14" s="1"/>
  <c r="F43" i="14"/>
  <c r="G44" i="14" l="1"/>
  <c r="H43" i="14"/>
  <c r="I43" i="14" s="1"/>
  <c r="D44" i="14"/>
  <c r="B45" i="14"/>
  <c r="F44" i="14"/>
  <c r="E44" i="14"/>
  <c r="G45" i="14" l="1"/>
  <c r="H44" i="14"/>
  <c r="I44" i="14" s="1"/>
  <c r="D45" i="14"/>
  <c r="E45" i="14" s="1"/>
  <c r="B46" i="14"/>
  <c r="F45" i="14"/>
  <c r="G46" i="14" l="1"/>
  <c r="H45" i="14"/>
  <c r="I45" i="14" s="1"/>
  <c r="F46" i="14"/>
  <c r="D46" i="14"/>
  <c r="E46" i="14" s="1"/>
  <c r="B47" i="14"/>
  <c r="G47" i="14" l="1"/>
  <c r="F47" i="14"/>
  <c r="D47" i="14"/>
  <c r="E47" i="14" s="1"/>
  <c r="B48" i="14"/>
  <c r="H46" i="14"/>
  <c r="I46" i="14" s="1"/>
  <c r="G48" i="14" l="1"/>
  <c r="H47" i="14"/>
  <c r="I47" i="14" s="1"/>
  <c r="F48" i="14"/>
  <c r="D48" i="14"/>
  <c r="E48" i="14" s="1"/>
  <c r="B49" i="14"/>
  <c r="G49" i="14" l="1"/>
  <c r="H48" i="14"/>
  <c r="I48" i="14" s="1"/>
  <c r="F49" i="14"/>
  <c r="D49" i="14"/>
  <c r="E49" i="14" s="1"/>
  <c r="H49" i="14" l="1"/>
  <c r="I49" i="14" s="1"/>
  <c r="F25" i="7"/>
  <c r="E25" i="7"/>
  <c r="D25" i="7"/>
  <c r="C25" i="7"/>
  <c r="B25" i="7"/>
  <c r="F24" i="7"/>
  <c r="E24" i="7"/>
  <c r="D24" i="7"/>
  <c r="C24" i="7"/>
  <c r="B24" i="7"/>
  <c r="F23" i="7"/>
  <c r="E23" i="7"/>
  <c r="D23" i="7"/>
  <c r="C23" i="7"/>
  <c r="B23" i="7"/>
  <c r="F22" i="7"/>
  <c r="E22" i="7"/>
  <c r="D22" i="7"/>
  <c r="C22" i="7"/>
  <c r="B22" i="7"/>
  <c r="F21" i="7"/>
  <c r="E21" i="7"/>
  <c r="D21" i="7"/>
  <c r="C21" i="7"/>
  <c r="B21" i="7"/>
  <c r="F20" i="7"/>
  <c r="E20" i="7"/>
  <c r="D20" i="7"/>
  <c r="C20" i="7"/>
  <c r="B20" i="7"/>
  <c r="P50" i="1"/>
  <c r="P49" i="1"/>
  <c r="P48" i="1"/>
  <c r="P47" i="1"/>
  <c r="P46" i="1"/>
  <c r="P45" i="1"/>
  <c r="P44" i="1"/>
  <c r="P40" i="1"/>
  <c r="P39" i="1"/>
  <c r="P38" i="1"/>
  <c r="P37" i="1"/>
  <c r="P36" i="1"/>
  <c r="P35" i="1"/>
  <c r="P34" i="1"/>
  <c r="P30" i="1"/>
  <c r="P29" i="1"/>
  <c r="P28" i="1"/>
  <c r="P27" i="1"/>
  <c r="P26" i="1"/>
  <c r="P25" i="1"/>
  <c r="P24" i="1"/>
  <c r="P20" i="1"/>
  <c r="P19" i="1"/>
  <c r="P18" i="1"/>
  <c r="P17" i="1"/>
  <c r="P16" i="1"/>
  <c r="P15" i="1"/>
  <c r="P14" i="1"/>
  <c r="P10" i="1"/>
  <c r="P9" i="1"/>
  <c r="P8" i="1"/>
  <c r="P7" i="1"/>
  <c r="P6" i="1"/>
  <c r="P5" i="1"/>
  <c r="K40" i="1"/>
  <c r="H40" i="1"/>
  <c r="I40" i="1" s="1"/>
  <c r="K39" i="1"/>
  <c r="H39" i="1"/>
  <c r="I39" i="1" s="1"/>
  <c r="K38" i="1"/>
  <c r="H38" i="1"/>
  <c r="I38" i="1" s="1"/>
  <c r="K37" i="1"/>
  <c r="H37" i="1"/>
  <c r="I37" i="1" s="1"/>
  <c r="K36" i="1"/>
  <c r="H36" i="1"/>
  <c r="I36" i="1" s="1"/>
  <c r="K35" i="1"/>
  <c r="H35" i="1"/>
  <c r="I35" i="1" s="1"/>
  <c r="K34" i="1"/>
  <c r="H34" i="1"/>
  <c r="I34" i="1" s="1"/>
  <c r="K30" i="1"/>
  <c r="H30" i="1"/>
  <c r="I30" i="1" s="1"/>
  <c r="K29" i="1"/>
  <c r="H29" i="1"/>
  <c r="I29" i="1" s="1"/>
  <c r="K28" i="1"/>
  <c r="H28" i="1"/>
  <c r="I28" i="1" s="1"/>
  <c r="K27" i="1"/>
  <c r="H27" i="1"/>
  <c r="I27" i="1" s="1"/>
  <c r="K26" i="1"/>
  <c r="H26" i="1"/>
  <c r="I26" i="1" s="1"/>
  <c r="K25" i="1"/>
  <c r="H25" i="1"/>
  <c r="I25" i="1" s="1"/>
  <c r="K24" i="1"/>
  <c r="H24" i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K10" i="1"/>
  <c r="H10" i="1"/>
  <c r="I10" i="1" s="1"/>
  <c r="K9" i="1"/>
  <c r="H9" i="1"/>
  <c r="I9" i="1" s="1"/>
  <c r="K8" i="1"/>
  <c r="H8" i="1"/>
  <c r="I8" i="1" s="1"/>
  <c r="K7" i="1"/>
  <c r="H7" i="1"/>
  <c r="I7" i="1" s="1"/>
  <c r="K6" i="1"/>
  <c r="H6" i="1"/>
  <c r="I6" i="1" s="1"/>
  <c r="K5" i="1"/>
  <c r="H5" i="1"/>
  <c r="I5" i="1" s="1"/>
  <c r="K4" i="1"/>
  <c r="H4" i="1"/>
  <c r="K50" i="1"/>
  <c r="J50" i="1"/>
  <c r="H50" i="1"/>
  <c r="I50" i="1" s="1"/>
  <c r="K49" i="1"/>
  <c r="J49" i="1"/>
  <c r="H49" i="1"/>
  <c r="I49" i="1" s="1"/>
  <c r="K48" i="1"/>
  <c r="J48" i="1"/>
  <c r="H48" i="1"/>
  <c r="I48" i="1" s="1"/>
  <c r="K47" i="1"/>
  <c r="J47" i="1"/>
  <c r="H47" i="1"/>
  <c r="I47" i="1" s="1"/>
  <c r="K46" i="1"/>
  <c r="J46" i="1"/>
  <c r="H46" i="1"/>
  <c r="I46" i="1" s="1"/>
  <c r="K45" i="1"/>
  <c r="J45" i="1"/>
  <c r="H45" i="1"/>
  <c r="I45" i="1" s="1"/>
  <c r="K44" i="1"/>
  <c r="H75" i="1"/>
  <c r="J91" i="1" s="1"/>
  <c r="G75" i="1"/>
  <c r="F75" i="1"/>
  <c r="E75" i="1"/>
  <c r="J89" i="1" s="1"/>
  <c r="D75" i="1"/>
  <c r="C75" i="1"/>
  <c r="J87" i="1" s="1"/>
  <c r="J74" i="1"/>
  <c r="I74" i="1"/>
  <c r="H73" i="1"/>
  <c r="G73" i="1"/>
  <c r="F73" i="1"/>
  <c r="E73" i="1"/>
  <c r="D73" i="1"/>
  <c r="C73" i="1"/>
  <c r="J71" i="1"/>
  <c r="I71" i="1"/>
  <c r="H70" i="1"/>
  <c r="G70" i="1"/>
  <c r="F70" i="1"/>
  <c r="E70" i="1"/>
  <c r="D70" i="1"/>
  <c r="C70" i="1"/>
  <c r="J69" i="1"/>
  <c r="I69" i="1"/>
  <c r="M35" i="1" l="1"/>
  <c r="O35" i="1"/>
  <c r="O36" i="1"/>
  <c r="O48" i="1"/>
  <c r="M48" i="1"/>
  <c r="Q8" i="1" a="1"/>
  <c r="Q8" i="1" s="1"/>
  <c r="O8" i="1"/>
  <c r="M8" i="1"/>
  <c r="M44" i="1"/>
  <c r="O44" i="1"/>
  <c r="M47" i="1"/>
  <c r="O47" i="1"/>
  <c r="O26" i="1"/>
  <c r="O37" i="1"/>
  <c r="O24" i="1"/>
  <c r="M45" i="1"/>
  <c r="O45" i="1"/>
  <c r="O25" i="1"/>
  <c r="M25" i="1"/>
  <c r="O46" i="1"/>
  <c r="M46" i="1"/>
  <c r="M9" i="1"/>
  <c r="O9" i="1"/>
  <c r="M29" i="1"/>
  <c r="O29" i="1"/>
  <c r="O49" i="1"/>
  <c r="M49" i="1"/>
  <c r="O27" i="1"/>
  <c r="O34" i="1"/>
  <c r="O38" i="1"/>
  <c r="M38" i="1"/>
  <c r="M6" i="1"/>
  <c r="O6" i="1"/>
  <c r="M28" i="1"/>
  <c r="O28" i="1"/>
  <c r="M39" i="1"/>
  <c r="O39" i="1"/>
  <c r="O7" i="1"/>
  <c r="M7" i="1"/>
  <c r="Q5" i="1" a="1"/>
  <c r="Q5" i="1" s="1"/>
  <c r="O5" i="1"/>
  <c r="Q4" i="1" a="1"/>
  <c r="Q4" i="1" s="1"/>
  <c r="O4" i="1"/>
  <c r="Q25" i="1" a="1"/>
  <c r="Q25" i="1" s="1"/>
  <c r="Q29" i="1" a="1"/>
  <c r="Q29" i="1" s="1"/>
  <c r="Q26" i="1" a="1"/>
  <c r="Q26" i="1" s="1"/>
  <c r="Q9" i="1" a="1"/>
  <c r="Q9" i="1" s="1"/>
  <c r="Q27" i="1" a="1"/>
  <c r="Q27" i="1" s="1"/>
  <c r="Q49" i="1" a="1"/>
  <c r="Q49" i="1" s="1"/>
  <c r="Q44" i="1" a="1"/>
  <c r="Q44" i="1" s="1"/>
  <c r="Q6" i="1" a="1"/>
  <c r="Q6" i="1" s="1"/>
  <c r="Q45" i="1" a="1"/>
  <c r="Q45" i="1" s="1"/>
  <c r="Q46" i="1" a="1"/>
  <c r="Q46" i="1" s="1"/>
  <c r="Q47" i="1" a="1"/>
  <c r="Q47" i="1" s="1"/>
  <c r="Q24" i="1" a="1"/>
  <c r="Q24" i="1" s="1"/>
  <c r="Q28" i="1" a="1"/>
  <c r="Q28" i="1" s="1"/>
  <c r="Q48" i="1" a="1"/>
  <c r="Q48" i="1" s="1"/>
  <c r="Q7" i="1" a="1"/>
  <c r="Q7" i="1" s="1"/>
  <c r="G22" i="7"/>
  <c r="I72" i="1"/>
  <c r="G24" i="7"/>
  <c r="H31" i="1"/>
  <c r="J72" i="1"/>
  <c r="G25" i="7"/>
  <c r="H21" i="1"/>
  <c r="G21" i="7"/>
  <c r="H11" i="1"/>
  <c r="G23" i="7"/>
  <c r="G20" i="7"/>
  <c r="H41" i="1"/>
  <c r="I70" i="1"/>
  <c r="I41" i="1"/>
  <c r="I24" i="1"/>
  <c r="I31" i="1" s="1"/>
  <c r="I14" i="1"/>
  <c r="I21" i="1" s="1"/>
  <c r="I4" i="1"/>
  <c r="I11" i="1" s="1"/>
  <c r="J70" i="1"/>
  <c r="I73" i="1"/>
  <c r="J73" i="1"/>
  <c r="J75" i="1"/>
  <c r="J90" i="1" s="1"/>
  <c r="I90" i="1" s="1"/>
  <c r="L39" i="1" s="1"/>
  <c r="I75" i="1"/>
  <c r="J88" i="1" s="1"/>
  <c r="I87" i="1"/>
  <c r="L9" i="1" s="1" a="1"/>
  <c r="L9" i="1" s="1"/>
  <c r="H87" i="1"/>
  <c r="L8" i="1" s="1" a="1"/>
  <c r="L8" i="1" s="1"/>
  <c r="E87" i="1"/>
  <c r="L5" i="1" s="1" a="1"/>
  <c r="L5" i="1" s="1"/>
  <c r="M5" i="1" s="1"/>
  <c r="G87" i="1"/>
  <c r="L7" i="1" s="1" a="1"/>
  <c r="L7" i="1" s="1"/>
  <c r="F87" i="1"/>
  <c r="L6" i="1" s="1" a="1"/>
  <c r="L6" i="1" s="1"/>
  <c r="D87" i="1"/>
  <c r="C87" i="1"/>
  <c r="I89" i="1"/>
  <c r="L29" i="1" s="1"/>
  <c r="H89" i="1"/>
  <c r="L28" i="1" s="1"/>
  <c r="G89" i="1"/>
  <c r="L27" i="1" s="1"/>
  <c r="M27" i="1" s="1"/>
  <c r="F89" i="1"/>
  <c r="L26" i="1" s="1"/>
  <c r="M26" i="1" s="1"/>
  <c r="E89" i="1"/>
  <c r="L25" i="1" s="1"/>
  <c r="D89" i="1"/>
  <c r="L24" i="1" s="1"/>
  <c r="M24" i="1" s="1"/>
  <c r="C89" i="1"/>
  <c r="I91" i="1"/>
  <c r="L49" i="1" s="1"/>
  <c r="H91" i="1"/>
  <c r="L48" i="1" s="1"/>
  <c r="G91" i="1"/>
  <c r="L47" i="1" s="1"/>
  <c r="E91" i="1"/>
  <c r="F91" i="1"/>
  <c r="L46" i="1" s="1"/>
  <c r="D91" i="1"/>
  <c r="L44" i="1" s="1"/>
  <c r="C91" i="1"/>
  <c r="Q37" i="1" l="1" a="1"/>
  <c r="Q37" i="1" s="1"/>
  <c r="Q36" i="1" a="1"/>
  <c r="Q36" i="1" s="1"/>
  <c r="Q39" i="1" a="1"/>
  <c r="Q39" i="1" s="1"/>
  <c r="F88" i="1"/>
  <c r="L16" i="1" s="1" a="1"/>
  <c r="L16" i="1" s="1"/>
  <c r="M16" i="1" s="1"/>
  <c r="Q19" i="1" a="1"/>
  <c r="Q19" i="1" s="1"/>
  <c r="Q15" i="1" a="1"/>
  <c r="Q15" i="1" s="1"/>
  <c r="Q18" i="1" a="1"/>
  <c r="Q18" i="1" s="1"/>
  <c r="Q14" i="1" a="1"/>
  <c r="Q14" i="1" s="1"/>
  <c r="Q16" i="1" a="1"/>
  <c r="Q16" i="1" s="1"/>
  <c r="Q17" i="1" a="1"/>
  <c r="Q17" i="1" s="1"/>
  <c r="Q38" i="1" a="1"/>
  <c r="Q38" i="1" s="1"/>
  <c r="Q35" i="1" a="1"/>
  <c r="Q35" i="1" s="1"/>
  <c r="Q34" i="1" a="1"/>
  <c r="Q34" i="1" s="1"/>
  <c r="L4" i="1" a="1"/>
  <c r="L4" i="1" s="1"/>
  <c r="M4" i="1" s="1"/>
  <c r="C90" i="1"/>
  <c r="G90" i="1"/>
  <c r="L37" i="1" s="1"/>
  <c r="M37" i="1" s="1"/>
  <c r="E90" i="1"/>
  <c r="E88" i="1"/>
  <c r="D90" i="1"/>
  <c r="L34" i="1" s="1"/>
  <c r="M34" i="1" s="1"/>
  <c r="G88" i="1"/>
  <c r="L17" i="1" s="1" a="1"/>
  <c r="L17" i="1" s="1"/>
  <c r="M17" i="1" s="1"/>
  <c r="F90" i="1"/>
  <c r="L36" i="1" s="1"/>
  <c r="M36" i="1" s="1"/>
  <c r="H88" i="1"/>
  <c r="I88" i="1"/>
  <c r="H90" i="1"/>
  <c r="L38" i="1" s="1"/>
  <c r="C88" i="1"/>
  <c r="D88" i="1"/>
  <c r="L14" i="1" s="1" a="1"/>
  <c r="L14" i="1" s="1"/>
  <c r="M14" i="1" s="1"/>
  <c r="L35" i="1" l="1"/>
  <c r="L45" i="1"/>
  <c r="I70" i="11" l="1"/>
  <c r="I84" i="11" l="1"/>
  <c r="H84" i="11" l="1"/>
  <c r="I71" i="11" l="1"/>
  <c r="I78" i="11"/>
  <c r="I80" i="11"/>
  <c r="I79" i="11"/>
  <c r="I67" i="11"/>
  <c r="I68" i="11"/>
  <c r="I69" i="11"/>
  <c r="I66" i="11"/>
  <c r="I62" i="11"/>
  <c r="I52" i="11"/>
  <c r="I51" i="11"/>
  <c r="I54" i="11"/>
  <c r="I81" i="11"/>
  <c r="I45" i="11"/>
  <c r="I44" i="11"/>
  <c r="I25" i="11"/>
  <c r="I12" i="11"/>
  <c r="I5" i="11"/>
  <c r="I4" i="11"/>
  <c r="I10" i="11" s="1"/>
  <c r="I86" i="11"/>
  <c r="I85" i="11"/>
  <c r="I82" i="11"/>
  <c r="I34" i="11"/>
  <c r="I32" i="11"/>
  <c r="I76" i="11"/>
  <c r="I74" i="11"/>
  <c r="I75" i="11"/>
  <c r="H62" i="11"/>
  <c r="H52" i="11"/>
  <c r="H51" i="11"/>
  <c r="H54" i="11"/>
  <c r="H81" i="11"/>
  <c r="H45" i="11"/>
  <c r="H44" i="11"/>
  <c r="H25" i="11"/>
  <c r="H17" i="11"/>
  <c r="H12" i="11"/>
  <c r="B8" i="12"/>
  <c r="H86" i="11"/>
  <c r="H85" i="11"/>
  <c r="H82" i="11"/>
  <c r="H34" i="11"/>
  <c r="H32" i="11"/>
  <c r="H36" i="11" s="1"/>
  <c r="H76" i="11"/>
  <c r="H74" i="11"/>
  <c r="H75" i="11"/>
  <c r="I72" i="11" l="1"/>
  <c r="I36" i="11"/>
  <c r="I15" i="11"/>
  <c r="H15" i="11"/>
  <c r="H41" i="11"/>
  <c r="H42" i="11" s="1"/>
  <c r="I41" i="11"/>
  <c r="I42" i="11" s="1"/>
  <c r="H83" i="11"/>
  <c r="H87" i="11" s="1"/>
  <c r="I83" i="11"/>
  <c r="I87" i="11" s="1"/>
  <c r="H48" i="11"/>
  <c r="H49" i="11" s="1"/>
  <c r="H102" i="11" s="1"/>
  <c r="I48" i="11"/>
  <c r="I49" i="11" s="1"/>
  <c r="I102" i="11" s="1"/>
  <c r="F49" i="11"/>
  <c r="E19" i="11"/>
  <c r="AN23" i="5" l="1"/>
  <c r="B23" i="5"/>
  <c r="A25" i="5"/>
  <c r="A24" i="5"/>
  <c r="A23" i="5"/>
  <c r="F20" i="11"/>
  <c r="J44" i="1"/>
  <c r="AO23" i="5" l="1"/>
  <c r="H20" i="11"/>
  <c r="I20" i="11"/>
  <c r="F22" i="11"/>
  <c r="F21" i="11"/>
  <c r="AP23" i="5"/>
  <c r="P41" i="1"/>
  <c r="P51" i="1"/>
  <c r="B19" i="7"/>
  <c r="C19" i="7"/>
  <c r="D19" i="7"/>
  <c r="E19" i="7"/>
  <c r="F19" i="7"/>
  <c r="A38" i="7"/>
  <c r="A39" i="7"/>
  <c r="A43" i="7"/>
  <c r="A44" i="7"/>
  <c r="A45" i="7"/>
  <c r="P4" i="1"/>
  <c r="C11" i="1"/>
  <c r="C41" i="1"/>
  <c r="H44" i="1"/>
  <c r="I44" i="1" s="1"/>
  <c r="C21" i="1"/>
  <c r="C51" i="1"/>
  <c r="I58" i="1"/>
  <c r="C31" i="1"/>
  <c r="I59" i="1"/>
  <c r="I60" i="1"/>
  <c r="I62" i="1"/>
  <c r="H63" i="1"/>
  <c r="C48" i="2"/>
  <c r="C15" i="8" s="1"/>
  <c r="D15" i="8" s="1"/>
  <c r="E15" i="8" s="1"/>
  <c r="F15" i="8" s="1"/>
  <c r="G15" i="8" s="1"/>
  <c r="H15" i="8" s="1"/>
  <c r="I15" i="8" s="1"/>
  <c r="J15" i="8" s="1"/>
  <c r="K15" i="8" s="1"/>
  <c r="L15" i="8" s="1"/>
  <c r="M15" i="8" s="1"/>
  <c r="N15" i="8" s="1"/>
  <c r="O15" i="8" s="1"/>
  <c r="P15" i="8" s="1"/>
  <c r="Q15" i="8" s="1"/>
  <c r="R15" i="8" s="1"/>
  <c r="S15" i="8" s="1"/>
  <c r="T15" i="8" s="1"/>
  <c r="U15" i="8" s="1"/>
  <c r="V15" i="8" s="1"/>
  <c r="C38" i="2"/>
  <c r="C14" i="8" s="1"/>
  <c r="D14" i="8" s="1"/>
  <c r="B8" i="8"/>
  <c r="B5" i="5"/>
  <c r="B6" i="5"/>
  <c r="D43" i="7"/>
  <c r="V4" i="5"/>
  <c r="W4" i="5" s="1"/>
  <c r="X4" i="5" s="1"/>
  <c r="Y4" i="5" s="1"/>
  <c r="Z4" i="5" s="1"/>
  <c r="AA4" i="5" s="1"/>
  <c r="AB4" i="5" s="1"/>
  <c r="AC4" i="5" s="1"/>
  <c r="AD4" i="5" s="1"/>
  <c r="AE4" i="5" s="1"/>
  <c r="AF4" i="5" s="1"/>
  <c r="AG4" i="5" s="1"/>
  <c r="AH4" i="5" s="1"/>
  <c r="AI4" i="5" s="1"/>
  <c r="AJ4" i="5" s="1"/>
  <c r="AK4" i="5" s="1"/>
  <c r="AL4" i="5" s="1"/>
  <c r="AM4" i="5" s="1"/>
  <c r="A18" i="5"/>
  <c r="A19" i="5"/>
  <c r="A20" i="5"/>
  <c r="A21" i="5"/>
  <c r="B21" i="5"/>
  <c r="A22" i="5"/>
  <c r="B22" i="5"/>
  <c r="B20" i="5"/>
  <c r="AN20" i="5" s="1"/>
  <c r="AO20" i="5" s="1"/>
  <c r="F27" i="11" l="1"/>
  <c r="E23" i="11"/>
  <c r="F29" i="11" s="1"/>
  <c r="C36" i="11" s="1"/>
  <c r="AN22" i="5"/>
  <c r="AO22" i="5"/>
  <c r="AN21" i="5"/>
  <c r="AO21" i="5" s="1"/>
  <c r="AN5" i="5"/>
  <c r="AN6" i="5"/>
  <c r="AO6" i="5" s="1"/>
  <c r="H21" i="11"/>
  <c r="I21" i="11"/>
  <c r="H22" i="11"/>
  <c r="I22" i="11"/>
  <c r="P31" i="1"/>
  <c r="P21" i="1"/>
  <c r="P11" i="1"/>
  <c r="B11" i="5"/>
  <c r="C26" i="7"/>
  <c r="B8" i="5"/>
  <c r="AP20" i="5"/>
  <c r="D39" i="7"/>
  <c r="I63" i="1"/>
  <c r="I64" i="1" s="1"/>
  <c r="F26" i="7"/>
  <c r="C54" i="1"/>
  <c r="AP22" i="5"/>
  <c r="D38" i="7"/>
  <c r="I51" i="1"/>
  <c r="H51" i="1"/>
  <c r="B26" i="7"/>
  <c r="D26" i="7"/>
  <c r="E26" i="7"/>
  <c r="G19" i="7"/>
  <c r="E14" i="8"/>
  <c r="F14" i="8" s="1"/>
  <c r="G14" i="8" s="1"/>
  <c r="H14" i="8" s="1"/>
  <c r="I14" i="8" s="1"/>
  <c r="J14" i="8" s="1"/>
  <c r="K14" i="8" s="1"/>
  <c r="L14" i="8" s="1"/>
  <c r="M14" i="8" s="1"/>
  <c r="N14" i="8" s="1"/>
  <c r="O14" i="8" s="1"/>
  <c r="P14" i="8" s="1"/>
  <c r="Q14" i="8" s="1"/>
  <c r="R14" i="8" s="1"/>
  <c r="S14" i="8" s="1"/>
  <c r="T14" i="8" s="1"/>
  <c r="U14" i="8" s="1"/>
  <c r="V14" i="8" s="1"/>
  <c r="E41" i="7" l="1"/>
  <c r="E42" i="7"/>
  <c r="G61" i="11"/>
  <c r="G56" i="11"/>
  <c r="G6" i="11"/>
  <c r="G18" i="11"/>
  <c r="G15" i="11"/>
  <c r="G33" i="11"/>
  <c r="G40" i="11"/>
  <c r="G39" i="11"/>
  <c r="G7" i="11"/>
  <c r="G16" i="11"/>
  <c r="G14" i="11"/>
  <c r="G8" i="11"/>
  <c r="G36" i="11"/>
  <c r="G42" i="11"/>
  <c r="G89" i="11"/>
  <c r="G77" i="11"/>
  <c r="G96" i="11"/>
  <c r="G53" i="11"/>
  <c r="H29" i="11"/>
  <c r="C30" i="11"/>
  <c r="H27" i="11"/>
  <c r="I27" i="11"/>
  <c r="G70" i="11"/>
  <c r="G47" i="11"/>
  <c r="G46" i="11"/>
  <c r="G84" i="11"/>
  <c r="G38" i="11"/>
  <c r="D57" i="2"/>
  <c r="G27" i="11"/>
  <c r="G35" i="11"/>
  <c r="D54" i="2"/>
  <c r="D44" i="2"/>
  <c r="G65" i="11"/>
  <c r="G24" i="11"/>
  <c r="G26" i="11"/>
  <c r="G59" i="11"/>
  <c r="G9" i="11"/>
  <c r="G97" i="11"/>
  <c r="D14" i="14"/>
  <c r="D15" i="14"/>
  <c r="D16" i="14"/>
  <c r="D17" i="14"/>
  <c r="D18" i="14"/>
  <c r="D19" i="14"/>
  <c r="D20" i="14"/>
  <c r="D21" i="14"/>
  <c r="D22" i="14"/>
  <c r="D23" i="14"/>
  <c r="D24" i="14"/>
  <c r="D25" i="14"/>
  <c r="AP5" i="5"/>
  <c r="AO5" i="5"/>
  <c r="C30" i="7"/>
  <c r="D30" i="7" s="1"/>
  <c r="AP21" i="5"/>
  <c r="AP6" i="5"/>
  <c r="G21" i="11"/>
  <c r="D55" i="2"/>
  <c r="G5" i="11"/>
  <c r="G25" i="11"/>
  <c r="G68" i="11"/>
  <c r="G29" i="11"/>
  <c r="G60" i="11"/>
  <c r="G78" i="11"/>
  <c r="G69" i="11"/>
  <c r="G41" i="11"/>
  <c r="G80" i="11"/>
  <c r="G98" i="11"/>
  <c r="G82" i="11"/>
  <c r="G57" i="11"/>
  <c r="G79" i="11"/>
  <c r="AN11" i="5"/>
  <c r="G34" i="11"/>
  <c r="G81" i="11"/>
  <c r="D45" i="7"/>
  <c r="E45" i="7" s="1"/>
  <c r="C61" i="2"/>
  <c r="P54" i="1"/>
  <c r="D34" i="2"/>
  <c r="D30" i="2"/>
  <c r="D33" i="2"/>
  <c r="D29" i="2"/>
  <c r="D21" i="2"/>
  <c r="D32" i="2"/>
  <c r="D28" i="2"/>
  <c r="D17" i="2"/>
  <c r="D31" i="2"/>
  <c r="D23" i="2"/>
  <c r="D16" i="2"/>
  <c r="D22" i="2"/>
  <c r="D14" i="2"/>
  <c r="G71" i="11"/>
  <c r="D42" i="2"/>
  <c r="D52" i="2"/>
  <c r="G48" i="11"/>
  <c r="E43" i="7"/>
  <c r="D45" i="2"/>
  <c r="G51" i="11"/>
  <c r="D35" i="2"/>
  <c r="C5" i="2"/>
  <c r="G67" i="11"/>
  <c r="G75" i="11"/>
  <c r="G26" i="7"/>
  <c r="H26" i="7" s="1"/>
  <c r="B4" i="12"/>
  <c r="G95" i="11"/>
  <c r="G72" i="11"/>
  <c r="G87" i="11"/>
  <c r="D15" i="2"/>
  <c r="D38" i="2"/>
  <c r="G49" i="11"/>
  <c r="D19" i="2"/>
  <c r="D37" i="2"/>
  <c r="E38" i="7"/>
  <c r="B3" i="12"/>
  <c r="G4" i="11"/>
  <c r="G99" i="11"/>
  <c r="G62" i="11"/>
  <c r="G76" i="11"/>
  <c r="D36" i="2"/>
  <c r="G17" i="11"/>
  <c r="D47" i="2"/>
  <c r="G20" i="11"/>
  <c r="G44" i="11"/>
  <c r="D48" i="2"/>
  <c r="D46" i="2"/>
  <c r="G22" i="11"/>
  <c r="D20" i="2"/>
  <c r="G58" i="11"/>
  <c r="E56" i="7"/>
  <c r="G83" i="11"/>
  <c r="D27" i="2"/>
  <c r="E53" i="7"/>
  <c r="D51" i="2"/>
  <c r="G85" i="11"/>
  <c r="D56" i="2"/>
  <c r="G74" i="11"/>
  <c r="D53" i="2"/>
  <c r="G66" i="11"/>
  <c r="D41" i="2"/>
  <c r="E39" i="7"/>
  <c r="E55" i="7"/>
  <c r="G32" i="11"/>
  <c r="G45" i="11"/>
  <c r="G10" i="11"/>
  <c r="G12" i="11"/>
  <c r="D43" i="2"/>
  <c r="G86" i="11"/>
  <c r="E54" i="7"/>
  <c r="G52" i="11"/>
  <c r="D18" i="2"/>
  <c r="I54" i="1"/>
  <c r="H54" i="1"/>
  <c r="G31" i="7" l="1"/>
  <c r="G30" i="7" s="1"/>
  <c r="C27" i="11"/>
  <c r="D7" i="14"/>
  <c r="H55" i="1"/>
  <c r="G29" i="7" s="1"/>
  <c r="D5" i="14"/>
  <c r="AP11" i="5"/>
  <c r="AO11" i="5"/>
  <c r="C18" i="8"/>
  <c r="D18" i="8" s="1"/>
  <c r="E18" i="8" s="1"/>
  <c r="F18" i="8" s="1"/>
  <c r="G18" i="8" s="1"/>
  <c r="H18" i="8" s="1"/>
  <c r="I18" i="8" s="1"/>
  <c r="J18" i="8" s="1"/>
  <c r="K18" i="8" s="1"/>
  <c r="L18" i="8" s="1"/>
  <c r="M18" i="8" s="1"/>
  <c r="N18" i="8" s="1"/>
  <c r="O18" i="8" s="1"/>
  <c r="P18" i="8" s="1"/>
  <c r="Q18" i="8" s="1"/>
  <c r="R18" i="8" s="1"/>
  <c r="S18" i="8" s="1"/>
  <c r="T18" i="8" s="1"/>
  <c r="U18" i="8" s="1"/>
  <c r="V18" i="8" s="1"/>
  <c r="AN8" i="5"/>
  <c r="D5" i="2"/>
  <c r="C7" i="8"/>
  <c r="D7" i="8" s="1"/>
  <c r="E7" i="8" s="1"/>
  <c r="F7" i="8" s="1"/>
  <c r="G7" i="8" s="1"/>
  <c r="H7" i="8" s="1"/>
  <c r="I7" i="8" s="1"/>
  <c r="J7" i="8" s="1"/>
  <c r="K7" i="8" s="1"/>
  <c r="L7" i="8" s="1"/>
  <c r="M7" i="8" s="1"/>
  <c r="N7" i="8" s="1"/>
  <c r="O7" i="8" s="1"/>
  <c r="P7" i="8" s="1"/>
  <c r="Q7" i="8" s="1"/>
  <c r="R7" i="8" s="1"/>
  <c r="S7" i="8" s="1"/>
  <c r="T7" i="8" s="1"/>
  <c r="U7" i="8" s="1"/>
  <c r="V7" i="8" s="1"/>
  <c r="B5" i="12"/>
  <c r="B6" i="12" s="1"/>
  <c r="G13" i="11"/>
  <c r="I55" i="1"/>
  <c r="C29" i="7"/>
  <c r="D29" i="7" s="1"/>
  <c r="C4" i="2"/>
  <c r="C6" i="12" l="1"/>
  <c r="B16" i="12"/>
  <c r="E14" i="14"/>
  <c r="E15" i="14"/>
  <c r="E16" i="14"/>
  <c r="E17" i="14"/>
  <c r="E18" i="14"/>
  <c r="E19" i="14"/>
  <c r="E20" i="14"/>
  <c r="E21" i="14"/>
  <c r="E22" i="14"/>
  <c r="E23" i="14"/>
  <c r="E24" i="14"/>
  <c r="E25" i="14"/>
  <c r="AP8" i="5"/>
  <c r="AO8" i="5"/>
  <c r="C16" i="8"/>
  <c r="D16" i="8" s="1"/>
  <c r="E16" i="8" s="1"/>
  <c r="F16" i="8" s="1"/>
  <c r="G16" i="8" s="1"/>
  <c r="H16" i="8" s="1"/>
  <c r="I16" i="8" s="1"/>
  <c r="J16" i="8" s="1"/>
  <c r="K16" i="8" s="1"/>
  <c r="L16" i="8" s="1"/>
  <c r="M16" i="8" s="1"/>
  <c r="N16" i="8" s="1"/>
  <c r="O16" i="8" s="1"/>
  <c r="P16" i="8" s="1"/>
  <c r="Q16" i="8" s="1"/>
  <c r="R16" i="8" s="1"/>
  <c r="S16" i="8" s="1"/>
  <c r="T16" i="8" s="1"/>
  <c r="U16" i="8" s="1"/>
  <c r="V16" i="8" s="1"/>
  <c r="C6" i="8"/>
  <c r="C8" i="8" s="1"/>
  <c r="D4" i="2"/>
  <c r="C6" i="2"/>
  <c r="C7" i="2" s="1"/>
  <c r="B7" i="5"/>
  <c r="G92" i="11" l="1"/>
  <c r="E40" i="7"/>
  <c r="G40" i="7"/>
  <c r="D7" i="2"/>
  <c r="D6" i="2"/>
  <c r="AN7" i="5" l="1"/>
  <c r="AO7" i="5" s="1"/>
  <c r="C8" i="2"/>
  <c r="E57" i="2" s="1"/>
  <c r="D6" i="8"/>
  <c r="D8" i="8" s="1"/>
  <c r="E61" i="2" l="1"/>
  <c r="C9" i="8"/>
  <c r="E8" i="2"/>
  <c r="D8" i="2"/>
  <c r="E38" i="2"/>
  <c r="E48" i="2"/>
  <c r="AP7" i="5"/>
  <c r="E6" i="8"/>
  <c r="E8" i="8" s="1"/>
  <c r="D9" i="8"/>
  <c r="C10" i="8" l="1"/>
  <c r="F6" i="8"/>
  <c r="F8" i="8" s="1"/>
  <c r="E9" i="8"/>
  <c r="D10" i="8"/>
  <c r="E10" i="8" l="1"/>
  <c r="G6" i="8"/>
  <c r="G8" i="8" s="1"/>
  <c r="F9" i="8"/>
  <c r="F10" i="8" l="1"/>
  <c r="G9" i="8"/>
  <c r="H6" i="8"/>
  <c r="H8" i="8" s="1"/>
  <c r="G10" i="8" l="1"/>
  <c r="H9" i="8"/>
  <c r="I6" i="8"/>
  <c r="I8" i="8" s="1"/>
  <c r="I9" i="8" l="1"/>
  <c r="J6" i="8"/>
  <c r="J8" i="8" s="1"/>
  <c r="H10" i="8"/>
  <c r="K6" i="8" l="1"/>
  <c r="K8" i="8" s="1"/>
  <c r="J9" i="8"/>
  <c r="I10" i="8"/>
  <c r="J10" i="8" l="1"/>
  <c r="K9" i="8"/>
  <c r="L6" i="8"/>
  <c r="L8" i="8" s="1"/>
  <c r="K10" i="8" l="1"/>
  <c r="L9" i="8"/>
  <c r="M6" i="8"/>
  <c r="M8" i="8" s="1"/>
  <c r="L10" i="8" l="1"/>
  <c r="M9" i="8"/>
  <c r="N6" i="8"/>
  <c r="N8" i="8" s="1"/>
  <c r="M10" i="8" l="1"/>
  <c r="O6" i="8"/>
  <c r="O8" i="8" s="1"/>
  <c r="N9" i="8"/>
  <c r="N10" i="8" l="1"/>
  <c r="P6" i="8"/>
  <c r="P8" i="8" s="1"/>
  <c r="O9" i="8"/>
  <c r="O10" i="8" l="1"/>
  <c r="Q6" i="8"/>
  <c r="Q8" i="8" s="1"/>
  <c r="P9" i="8"/>
  <c r="P10" i="8" l="1"/>
  <c r="Q9" i="8"/>
  <c r="R6" i="8"/>
  <c r="R8" i="8" s="1"/>
  <c r="R9" i="8" l="1"/>
  <c r="S6" i="8"/>
  <c r="S8" i="8" s="1"/>
  <c r="Q10" i="8"/>
  <c r="S9" i="8" l="1"/>
  <c r="T6" i="8"/>
  <c r="T8" i="8" s="1"/>
  <c r="R10" i="8"/>
  <c r="U6" i="8" l="1"/>
  <c r="U8" i="8" s="1"/>
  <c r="T9" i="8"/>
  <c r="S10" i="8"/>
  <c r="T10" i="8" l="1"/>
  <c r="U9" i="8"/>
  <c r="V6" i="8"/>
  <c r="V8" i="8" s="1"/>
  <c r="V9" i="8" l="1"/>
  <c r="U10" i="8"/>
  <c r="V10" i="8" l="1"/>
  <c r="C13" i="2" l="1"/>
  <c r="C24" i="2" l="1"/>
  <c r="D13" i="2"/>
  <c r="C13" i="8" l="1"/>
  <c r="C17" i="8" s="1"/>
  <c r="C19" i="8" s="1"/>
  <c r="C59" i="2"/>
  <c r="E59" i="2" s="1"/>
  <c r="D24" i="2"/>
  <c r="E24" i="2"/>
  <c r="C63" i="2" l="1"/>
  <c r="C65" i="2" s="1"/>
  <c r="D65" i="2" s="1"/>
  <c r="D59" i="2"/>
  <c r="D6" i="14"/>
  <c r="F14" i="14" s="1"/>
  <c r="F21" i="14"/>
  <c r="C31" i="7"/>
  <c r="D31" i="7" s="1"/>
  <c r="D13" i="8"/>
  <c r="D17" i="8" s="1"/>
  <c r="D19" i="8" s="1"/>
  <c r="C20" i="8"/>
  <c r="D63" i="2" l="1"/>
  <c r="E63" i="2"/>
  <c r="F20" i="14"/>
  <c r="H20" i="14" s="1"/>
  <c r="I20" i="14" s="1"/>
  <c r="F17" i="14"/>
  <c r="H17" i="14" s="1"/>
  <c r="I17" i="14" s="1"/>
  <c r="F24" i="14"/>
  <c r="H24" i="14" s="1"/>
  <c r="I24" i="14" s="1"/>
  <c r="F16" i="14"/>
  <c r="H16" i="14" s="1"/>
  <c r="I16" i="14" s="1"/>
  <c r="F25" i="14"/>
  <c r="H25" i="14" s="1"/>
  <c r="I25" i="14" s="1"/>
  <c r="F23" i="14"/>
  <c r="H23" i="14" s="1"/>
  <c r="I23" i="14" s="1"/>
  <c r="F22" i="14"/>
  <c r="H22" i="14" s="1"/>
  <c r="I22" i="14" s="1"/>
  <c r="F19" i="14"/>
  <c r="F15" i="14"/>
  <c r="H15" i="14" s="1"/>
  <c r="I15" i="14" s="1"/>
  <c r="F18" i="14"/>
  <c r="H14" i="14"/>
  <c r="I14" i="14" s="1"/>
  <c r="C69" i="2"/>
  <c r="C72" i="2" s="1"/>
  <c r="H21" i="14"/>
  <c r="I21" i="14" s="1"/>
  <c r="E13" i="8"/>
  <c r="E17" i="8" s="1"/>
  <c r="E19" i="8" s="1"/>
  <c r="C32" i="7"/>
  <c r="D32" i="7" s="1"/>
  <c r="C22" i="8"/>
  <c r="E65" i="2"/>
  <c r="D20" i="8"/>
  <c r="D22" i="8"/>
  <c r="C74" i="2" l="1"/>
  <c r="C33" i="7" s="1"/>
  <c r="D33" i="7" s="1"/>
  <c r="H18" i="14"/>
  <c r="I18" i="14" s="1"/>
  <c r="H19" i="14"/>
  <c r="I19" i="14" s="1"/>
  <c r="I6" i="14" s="1"/>
  <c r="I9" i="14" s="1"/>
  <c r="D57" i="7" s="1"/>
  <c r="F13" i="8"/>
  <c r="F17" i="8" s="1"/>
  <c r="F19" i="8" s="1"/>
  <c r="C23" i="8"/>
  <c r="E20" i="8"/>
  <c r="E22" i="8"/>
  <c r="D23" i="8"/>
  <c r="I5" i="14" l="1"/>
  <c r="E92" i="11" s="1"/>
  <c r="D51" i="7"/>
  <c r="E51" i="7" s="1"/>
  <c r="F93" i="11"/>
  <c r="D73" i="2"/>
  <c r="I7" i="14"/>
  <c r="B24" i="5"/>
  <c r="AN24" i="5" s="1"/>
  <c r="E57" i="7"/>
  <c r="C25" i="8"/>
  <c r="D74" i="2"/>
  <c r="E74" i="2"/>
  <c r="C77" i="2"/>
  <c r="G13" i="8"/>
  <c r="G17" i="8" s="1"/>
  <c r="G19" i="8" s="1"/>
  <c r="E23" i="8"/>
  <c r="F20" i="8"/>
  <c r="F22" i="8"/>
  <c r="G93" i="11" l="1"/>
  <c r="F100" i="11"/>
  <c r="F102" i="11" s="1"/>
  <c r="B18" i="5"/>
  <c r="AO24" i="5"/>
  <c r="AP24" i="5"/>
  <c r="AN18" i="5"/>
  <c r="D77" i="2"/>
  <c r="C34" i="7"/>
  <c r="D34" i="7" s="1"/>
  <c r="E77" i="2"/>
  <c r="D25" i="8"/>
  <c r="C28" i="8"/>
  <c r="C26" i="8"/>
  <c r="C35" i="7" s="1"/>
  <c r="H13" i="8"/>
  <c r="H17" i="8" s="1"/>
  <c r="H19" i="8" s="1"/>
  <c r="F23" i="8"/>
  <c r="G20" i="8"/>
  <c r="G22" i="8"/>
  <c r="AO18" i="5" l="1"/>
  <c r="AP18" i="5"/>
  <c r="C53" i="8"/>
  <c r="C30" i="8"/>
  <c r="C29" i="8"/>
  <c r="E25" i="8"/>
  <c r="D26" i="8"/>
  <c r="D28" i="8"/>
  <c r="D53" i="8" s="1"/>
  <c r="I13" i="8"/>
  <c r="I17" i="8" s="1"/>
  <c r="I19" i="8" s="1"/>
  <c r="G23" i="8"/>
  <c r="H20" i="8"/>
  <c r="H22" i="8"/>
  <c r="D30" i="8" l="1"/>
  <c r="F25" i="8"/>
  <c r="E28" i="8"/>
  <c r="E26" i="8"/>
  <c r="D29" i="8"/>
  <c r="J13" i="8"/>
  <c r="J17" i="8" s="1"/>
  <c r="J19" i="8" s="1"/>
  <c r="H23" i="8"/>
  <c r="I20" i="8"/>
  <c r="I22" i="8"/>
  <c r="E53" i="8" l="1"/>
  <c r="E30" i="8"/>
  <c r="E29" i="8"/>
  <c r="G25" i="8"/>
  <c r="F28" i="8"/>
  <c r="F26" i="8"/>
  <c r="K13" i="8"/>
  <c r="K17" i="8" s="1"/>
  <c r="K19" i="8" s="1"/>
  <c r="J20" i="8"/>
  <c r="J22" i="8"/>
  <c r="I23" i="8"/>
  <c r="F53" i="8" l="1"/>
  <c r="F30" i="8"/>
  <c r="F29" i="8"/>
  <c r="H25" i="8"/>
  <c r="G26" i="8"/>
  <c r="G28" i="8"/>
  <c r="L13" i="8"/>
  <c r="L17" i="8" s="1"/>
  <c r="L19" i="8" s="1"/>
  <c r="K20" i="8"/>
  <c r="K22" i="8"/>
  <c r="J23" i="8"/>
  <c r="G53" i="8" l="1"/>
  <c r="G30" i="8"/>
  <c r="G29" i="8"/>
  <c r="I25" i="8"/>
  <c r="H26" i="8"/>
  <c r="H28" i="8"/>
  <c r="M13" i="8"/>
  <c r="M17" i="8" s="1"/>
  <c r="M19" i="8" s="1"/>
  <c r="K23" i="8"/>
  <c r="L20" i="8"/>
  <c r="L22" i="8"/>
  <c r="H53" i="8" l="1"/>
  <c r="H30" i="8"/>
  <c r="H29" i="8"/>
  <c r="J25" i="8"/>
  <c r="I26" i="8"/>
  <c r="I28" i="8"/>
  <c r="N13" i="8"/>
  <c r="N17" i="8" s="1"/>
  <c r="N19" i="8" s="1"/>
  <c r="L23" i="8"/>
  <c r="M20" i="8"/>
  <c r="M22" i="8"/>
  <c r="I53" i="8" l="1"/>
  <c r="I30" i="8"/>
  <c r="K25" i="8"/>
  <c r="J26" i="8"/>
  <c r="J28" i="8"/>
  <c r="I29" i="8"/>
  <c r="O13" i="8"/>
  <c r="O17" i="8" s="1"/>
  <c r="O19" i="8" s="1"/>
  <c r="M23" i="8"/>
  <c r="N20" i="8"/>
  <c r="N22" i="8"/>
  <c r="J53" i="8" l="1"/>
  <c r="J30" i="8"/>
  <c r="J29" i="8"/>
  <c r="L25" i="8"/>
  <c r="K26" i="8"/>
  <c r="K28" i="8"/>
  <c r="P13" i="8"/>
  <c r="P17" i="8" s="1"/>
  <c r="P19" i="8" s="1"/>
  <c r="N23" i="8"/>
  <c r="O20" i="8"/>
  <c r="O22" i="8"/>
  <c r="K53" i="8" l="1"/>
  <c r="K30" i="8"/>
  <c r="K29" i="8"/>
  <c r="M25" i="8"/>
  <c r="L26" i="8"/>
  <c r="L28" i="8"/>
  <c r="Q13" i="8"/>
  <c r="Q17" i="8" s="1"/>
  <c r="Q19" i="8" s="1"/>
  <c r="P20" i="8"/>
  <c r="P22" i="8"/>
  <c r="O23" i="8"/>
  <c r="L53" i="8" l="1"/>
  <c r="L30" i="8"/>
  <c r="L29" i="8"/>
  <c r="N25" i="8"/>
  <c r="M26" i="8"/>
  <c r="M28" i="8"/>
  <c r="R13" i="8"/>
  <c r="R17" i="8" s="1"/>
  <c r="R19" i="8" s="1"/>
  <c r="P23" i="8"/>
  <c r="Q20" i="8"/>
  <c r="Q22" i="8"/>
  <c r="M53" i="8" l="1"/>
  <c r="M30" i="8"/>
  <c r="M29" i="8"/>
  <c r="O25" i="8"/>
  <c r="N26" i="8"/>
  <c r="N28" i="8"/>
  <c r="S13" i="8"/>
  <c r="S17" i="8" s="1"/>
  <c r="S19" i="8" s="1"/>
  <c r="Q23" i="8"/>
  <c r="R22" i="8"/>
  <c r="R20" i="8"/>
  <c r="N53" i="8" l="1"/>
  <c r="N30" i="8"/>
  <c r="N29" i="8"/>
  <c r="P25" i="8"/>
  <c r="O28" i="8"/>
  <c r="O26" i="8"/>
  <c r="T13" i="8"/>
  <c r="T17" i="8" s="1"/>
  <c r="T19" i="8" s="1"/>
  <c r="R23" i="8"/>
  <c r="S20" i="8"/>
  <c r="S22" i="8"/>
  <c r="O53" i="8" l="1"/>
  <c r="O30" i="8"/>
  <c r="O29" i="8"/>
  <c r="Q25" i="8"/>
  <c r="P26" i="8"/>
  <c r="P28" i="8"/>
  <c r="U13" i="8"/>
  <c r="U17" i="8" s="1"/>
  <c r="U19" i="8" s="1"/>
  <c r="S23" i="8"/>
  <c r="T20" i="8"/>
  <c r="T22" i="8"/>
  <c r="P53" i="8" l="1"/>
  <c r="P30" i="8"/>
  <c r="R25" i="8"/>
  <c r="Q26" i="8"/>
  <c r="Q28" i="8"/>
  <c r="P29" i="8"/>
  <c r="V13" i="8"/>
  <c r="V17" i="8" s="1"/>
  <c r="V19" i="8" s="1"/>
  <c r="U20" i="8"/>
  <c r="U22" i="8"/>
  <c r="T23" i="8"/>
  <c r="V22" i="8" l="1"/>
  <c r="V23" i="8" s="1"/>
  <c r="Q53" i="8"/>
  <c r="Q30" i="8"/>
  <c r="Q29" i="8"/>
  <c r="S25" i="8"/>
  <c r="R26" i="8"/>
  <c r="R28" i="8"/>
  <c r="U23" i="8"/>
  <c r="V20" i="8" l="1"/>
  <c r="R53" i="8"/>
  <c r="R30" i="8"/>
  <c r="R29" i="8"/>
  <c r="T25" i="8"/>
  <c r="S26" i="8"/>
  <c r="S28" i="8"/>
  <c r="S53" i="8" l="1"/>
  <c r="S30" i="8"/>
  <c r="S29" i="8"/>
  <c r="U25" i="8"/>
  <c r="T26" i="8"/>
  <c r="T28" i="8"/>
  <c r="T53" i="8" l="1"/>
  <c r="T30" i="8"/>
  <c r="T29" i="8"/>
  <c r="V25" i="8"/>
  <c r="U26" i="8"/>
  <c r="U28" i="8"/>
  <c r="U53" i="8" l="1"/>
  <c r="U30" i="8"/>
  <c r="U29" i="8"/>
  <c r="V28" i="8"/>
  <c r="V26" i="8"/>
  <c r="V30" i="8" l="1"/>
  <c r="V53" i="8"/>
  <c r="C52" i="8" s="1"/>
  <c r="E94" i="11" s="1"/>
  <c r="V29" i="8"/>
  <c r="C54" i="8" l="1"/>
  <c r="C55" i="8" s="1"/>
  <c r="D52" i="8" s="1"/>
  <c r="D54" i="8" l="1"/>
  <c r="D55" i="8" s="1"/>
  <c r="E52" i="8" s="1"/>
  <c r="G94" i="11"/>
  <c r="E54" i="8" l="1"/>
  <c r="E55" i="8" s="1"/>
  <c r="F52" i="8" s="1"/>
  <c r="F54" i="8" l="1"/>
  <c r="F55" i="8" s="1"/>
  <c r="G52" i="8" s="1"/>
  <c r="AN12" i="5"/>
  <c r="G54" i="8" l="1"/>
  <c r="G55" i="8" s="1"/>
  <c r="H52" i="8" s="1"/>
  <c r="H54" i="8" l="1"/>
  <c r="H55" i="8" s="1"/>
  <c r="I52" i="8" s="1"/>
  <c r="I54" i="8" l="1"/>
  <c r="I55" i="8" s="1"/>
  <c r="J52" i="8" s="1"/>
  <c r="J54" i="8" l="1"/>
  <c r="J55" i="8" s="1"/>
  <c r="K52" i="8" s="1"/>
  <c r="K54" i="8" l="1"/>
  <c r="K55" i="8" s="1"/>
  <c r="L52" i="8" s="1"/>
  <c r="L54" i="8" l="1"/>
  <c r="L55" i="8" s="1"/>
  <c r="M52" i="8" s="1"/>
  <c r="M54" i="8" l="1"/>
  <c r="M55" i="8" s="1"/>
  <c r="N52" i="8" s="1"/>
  <c r="N54" i="8" l="1"/>
  <c r="N55" i="8" s="1"/>
  <c r="O52" i="8" s="1"/>
  <c r="O54" i="8" l="1"/>
  <c r="O55" i="8" s="1"/>
  <c r="P52" i="8" s="1"/>
  <c r="P54" i="8" l="1"/>
  <c r="P55" i="8" s="1"/>
  <c r="Q52" i="8" s="1"/>
  <c r="Q54" i="8" l="1"/>
  <c r="Q55" i="8" s="1"/>
  <c r="R52" i="8" s="1"/>
  <c r="R54" i="8" l="1"/>
  <c r="R55" i="8" s="1"/>
  <c r="S52" i="8" s="1"/>
  <c r="S54" i="8" l="1"/>
  <c r="S55" i="8" s="1"/>
  <c r="T52" i="8" s="1"/>
  <c r="G54" i="11"/>
  <c r="T54" i="8" l="1"/>
  <c r="T55" i="8" s="1"/>
  <c r="U52" i="8" s="1"/>
  <c r="U54" i="8" l="1"/>
  <c r="U55" i="8" s="1"/>
  <c r="V52" i="8" s="1"/>
  <c r="C14" i="5"/>
  <c r="C29" i="5" s="1"/>
  <c r="C30" i="5" s="1"/>
  <c r="V54" i="8" l="1"/>
  <c r="V55" i="8" s="1"/>
  <c r="C34" i="5" l="1"/>
  <c r="D17" i="5" s="1"/>
  <c r="D26" i="5" s="1"/>
  <c r="C32" i="5"/>
  <c r="D10" i="5" s="1"/>
  <c r="D14" i="5" l="1"/>
  <c r="D29" i="5" s="1"/>
  <c r="D30" i="5" s="1"/>
  <c r="D31" i="5" l="1"/>
  <c r="D34" i="5" s="1"/>
  <c r="E17" i="5" s="1"/>
  <c r="E26" i="5" s="1"/>
  <c r="D32" i="5" l="1"/>
  <c r="E10" i="5" s="1"/>
  <c r="E14" i="5" s="1"/>
  <c r="E29" i="5" s="1"/>
  <c r="E30" i="5" s="1"/>
  <c r="E31" i="5" l="1"/>
  <c r="E34" i="5" l="1"/>
  <c r="F17" i="5" s="1"/>
  <c r="F26" i="5" s="1"/>
  <c r="E32" i="5"/>
  <c r="F10" i="5" s="1"/>
  <c r="F14" i="5" l="1"/>
  <c r="F29" i="5" s="1"/>
  <c r="F30" i="5" s="1"/>
  <c r="F31" i="5" l="1"/>
  <c r="F34" i="5" l="1"/>
  <c r="G17" i="5" s="1"/>
  <c r="G26" i="5" s="1"/>
  <c r="F32" i="5"/>
  <c r="G10" i="5" s="1"/>
  <c r="G14" i="5" s="1"/>
  <c r="G29" i="5" l="1"/>
  <c r="G30" i="5" s="1"/>
  <c r="G31" i="5"/>
  <c r="G34" i="5" l="1"/>
  <c r="H17" i="5" s="1"/>
  <c r="H26" i="5" s="1"/>
  <c r="G32" i="5"/>
  <c r="H10" i="5" s="1"/>
  <c r="H14" i="5" l="1"/>
  <c r="H29" i="5" s="1"/>
  <c r="H30" i="5" s="1"/>
  <c r="H31" i="5" l="1"/>
  <c r="H34" i="5" l="1"/>
  <c r="I17" i="5" s="1"/>
  <c r="I26" i="5" s="1"/>
  <c r="H32" i="5"/>
  <c r="I10" i="5" s="1"/>
  <c r="I14" i="5" l="1"/>
  <c r="I29" i="5" s="1"/>
  <c r="I30" i="5" s="1"/>
  <c r="I31" i="5" l="1"/>
  <c r="I34" i="5" l="1"/>
  <c r="J17" i="5" s="1"/>
  <c r="J26" i="5" s="1"/>
  <c r="I32" i="5"/>
  <c r="J10" i="5" s="1"/>
  <c r="J14" i="5" s="1"/>
  <c r="J29" i="5" l="1"/>
  <c r="J31" i="5" s="1"/>
  <c r="J30" i="5" l="1"/>
  <c r="J32" i="5" s="1"/>
  <c r="K10" i="5" s="1"/>
  <c r="J34" i="5" l="1"/>
  <c r="K17" i="5" s="1"/>
  <c r="K26" i="5" s="1"/>
  <c r="K14" i="5"/>
  <c r="K29" i="5" l="1"/>
  <c r="K31" i="5" s="1"/>
  <c r="K34" i="5" l="1"/>
  <c r="L17" i="5" s="1"/>
  <c r="L26" i="5" s="1"/>
  <c r="K30" i="5"/>
  <c r="K32" i="5" s="1"/>
  <c r="L10" i="5" s="1"/>
  <c r="L14" i="5" l="1"/>
  <c r="L29" i="5" l="1"/>
  <c r="L31" i="5" s="1"/>
  <c r="L30" i="5" l="1"/>
  <c r="L34" i="5"/>
  <c r="M17" i="5" s="1"/>
  <c r="M26" i="5" s="1"/>
  <c r="L32" i="5" l="1"/>
  <c r="M10" i="5" s="1"/>
  <c r="M14" i="5" l="1"/>
  <c r="M29" i="5" l="1"/>
  <c r="M31" i="5" s="1"/>
  <c r="M30" i="5" l="1"/>
  <c r="M34" i="5"/>
  <c r="N17" i="5" s="1"/>
  <c r="N26" i="5" s="1"/>
  <c r="M32" i="5" l="1"/>
  <c r="N10" i="5" s="1"/>
  <c r="G55" i="11"/>
  <c r="H55" i="11"/>
  <c r="H63" i="11" s="1"/>
  <c r="I55" i="11"/>
  <c r="I63" i="11" s="1"/>
  <c r="B9" i="5" l="1"/>
  <c r="N14" i="5"/>
  <c r="D44" i="7"/>
  <c r="E44" i="7" s="1"/>
  <c r="G63" i="11"/>
  <c r="D46" i="7" l="1"/>
  <c r="B12" i="5"/>
  <c r="G100" i="11"/>
  <c r="N29" i="5"/>
  <c r="AN9" i="5"/>
  <c r="AO9" i="5" s="1"/>
  <c r="E46" i="7" l="1"/>
  <c r="AO12" i="5"/>
  <c r="AP12" i="5"/>
  <c r="N30" i="5"/>
  <c r="N31" i="5"/>
  <c r="N34" i="5" s="1"/>
  <c r="AP9" i="5"/>
  <c r="O17" i="5" l="1"/>
  <c r="O26" i="5" s="1"/>
  <c r="N32" i="5"/>
  <c r="O10" i="5" s="1"/>
  <c r="AN19" i="5"/>
  <c r="O14" i="5" l="1"/>
  <c r="E58" i="7" l="1"/>
  <c r="B25" i="5"/>
  <c r="C33" i="8"/>
  <c r="C34" i="8"/>
  <c r="C37" i="8" s="1"/>
  <c r="O29" i="5"/>
  <c r="O31" i="5" s="1"/>
  <c r="E59" i="7" l="1"/>
  <c r="AN25" i="5"/>
  <c r="AP25" i="5" s="1"/>
  <c r="O34" i="5"/>
  <c r="P17" i="5" s="1"/>
  <c r="P26" i="5" s="1"/>
  <c r="O30" i="5"/>
  <c r="C35" i="8"/>
  <c r="D33" i="8" s="1"/>
  <c r="C43" i="8"/>
  <c r="C49" i="8" s="1"/>
  <c r="AN26" i="5" l="1"/>
  <c r="AO25" i="5"/>
  <c r="C44" i="8"/>
  <c r="C45" i="8" s="1"/>
  <c r="D41" i="8" s="1"/>
  <c r="D34" i="8"/>
  <c r="D37" i="8" s="1"/>
  <c r="O32" i="5"/>
  <c r="P10" i="5" s="1"/>
  <c r="D35" i="8" l="1"/>
  <c r="E33" i="8" s="1"/>
  <c r="C46" i="8"/>
  <c r="C47" i="8" s="1"/>
  <c r="D40" i="8" s="1"/>
  <c r="D42" i="8" s="1"/>
  <c r="P14" i="5"/>
  <c r="D43" i="8" l="1"/>
  <c r="D44" i="8" s="1"/>
  <c r="D45" i="8" s="1"/>
  <c r="E41" i="8" s="1"/>
  <c r="E34" i="8"/>
  <c r="E37" i="8" s="1"/>
  <c r="P29" i="5"/>
  <c r="P31" i="5" s="1"/>
  <c r="P30" i="5" l="1"/>
  <c r="E35" i="8"/>
  <c r="F33" i="8" s="1"/>
  <c r="F34" i="8" s="1"/>
  <c r="F37" i="8" s="1"/>
  <c r="D46" i="8"/>
  <c r="D47" i="8" s="1"/>
  <c r="E40" i="8" s="1"/>
  <c r="E42" i="8" s="1"/>
  <c r="D49" i="8"/>
  <c r="P34" i="5" l="1"/>
  <c r="Q17" i="5" s="1"/>
  <c r="Q26" i="5" s="1"/>
  <c r="F35" i="8"/>
  <c r="G33" i="8" s="1"/>
  <c r="G34" i="8" s="1"/>
  <c r="G37" i="8" s="1"/>
  <c r="E43" i="8"/>
  <c r="E44" i="8" s="1"/>
  <c r="E45" i="8" s="1"/>
  <c r="F41" i="8" s="1"/>
  <c r="P32" i="5"/>
  <c r="Q10" i="5" l="1"/>
  <c r="Q14" i="5" s="1"/>
  <c r="Q29" i="5" s="1"/>
  <c r="Q31" i="5" s="1"/>
  <c r="G35" i="8"/>
  <c r="H33" i="8" s="1"/>
  <c r="H34" i="8" s="1"/>
  <c r="H37" i="8" s="1"/>
  <c r="E49" i="8"/>
  <c r="E46" i="8"/>
  <c r="E47" i="8" s="1"/>
  <c r="F40" i="8" s="1"/>
  <c r="F42" i="8" s="1"/>
  <c r="Q30" i="5" l="1"/>
  <c r="Q34" i="5"/>
  <c r="F43" i="8"/>
  <c r="F44" i="8" s="1"/>
  <c r="F45" i="8" s="1"/>
  <c r="G41" i="8" s="1"/>
  <c r="H35" i="8"/>
  <c r="I33" i="8" s="1"/>
  <c r="I34" i="8" l="1"/>
  <c r="I37" i="8" s="1"/>
  <c r="F46" i="8"/>
  <c r="F47" i="8" s="1"/>
  <c r="G40" i="8" s="1"/>
  <c r="G42" i="8" s="1"/>
  <c r="F49" i="8"/>
  <c r="Q32" i="5"/>
  <c r="R17" i="5"/>
  <c r="R26" i="5" s="1"/>
  <c r="R10" i="5" l="1"/>
  <c r="R14" i="5" s="1"/>
  <c r="R29" i="5" s="1"/>
  <c r="R31" i="5" s="1"/>
  <c r="I35" i="8"/>
  <c r="J33" i="8" s="1"/>
  <c r="J34" i="8" s="1"/>
  <c r="J37" i="8" s="1"/>
  <c r="G43" i="8"/>
  <c r="G44" i="8" s="1"/>
  <c r="G45" i="8" s="1"/>
  <c r="H41" i="8" s="1"/>
  <c r="R30" i="5" l="1"/>
  <c r="R34" i="5"/>
  <c r="S17" i="5" s="1"/>
  <c r="J35" i="8"/>
  <c r="K33" i="8" s="1"/>
  <c r="K34" i="8" s="1"/>
  <c r="K37" i="8" s="1"/>
  <c r="G46" i="8"/>
  <c r="G47" i="8" s="1"/>
  <c r="H40" i="8" s="1"/>
  <c r="H42" i="8" s="1"/>
  <c r="G49" i="8"/>
  <c r="K35" i="8" l="1"/>
  <c r="L33" i="8" s="1"/>
  <c r="H43" i="8"/>
  <c r="H49" i="8" s="1"/>
  <c r="R32" i="5"/>
  <c r="S10" i="5" s="1"/>
  <c r="S26" i="5"/>
  <c r="H44" i="8" l="1"/>
  <c r="L34" i="8"/>
  <c r="L37" i="8" s="1"/>
  <c r="S14" i="5"/>
  <c r="L35" i="8" l="1"/>
  <c r="M33" i="8" s="1"/>
  <c r="H46" i="8"/>
  <c r="H47" i="8" s="1"/>
  <c r="I40" i="8" s="1"/>
  <c r="I42" i="8" s="1"/>
  <c r="H45" i="8"/>
  <c r="I41" i="8" s="1"/>
  <c r="S29" i="5"/>
  <c r="S31" i="5" s="1"/>
  <c r="S30" i="5" l="1"/>
  <c r="S34" i="5"/>
  <c r="T17" i="5" s="1"/>
  <c r="T26" i="5" s="1"/>
  <c r="I43" i="8"/>
  <c r="I44" i="8" s="1"/>
  <c r="I45" i="8" s="1"/>
  <c r="J41" i="8" s="1"/>
  <c r="M34" i="8"/>
  <c r="M37" i="8" s="1"/>
  <c r="M35" i="8" l="1"/>
  <c r="N33" i="8" s="1"/>
  <c r="I46" i="8"/>
  <c r="I47" i="8" s="1"/>
  <c r="J40" i="8" s="1"/>
  <c r="J42" i="8" s="1"/>
  <c r="I49" i="8"/>
  <c r="S32" i="5"/>
  <c r="T10" i="5" l="1"/>
  <c r="T14" i="5" s="1"/>
  <c r="T29" i="5" s="1"/>
  <c r="T31" i="5" s="1"/>
  <c r="J43" i="8"/>
  <c r="J44" i="8" s="1"/>
  <c r="J45" i="8" s="1"/>
  <c r="K41" i="8" s="1"/>
  <c r="N34" i="8"/>
  <c r="N37" i="8" s="1"/>
  <c r="T30" i="5" l="1"/>
  <c r="T34" i="5"/>
  <c r="U17" i="5" s="1"/>
  <c r="U26" i="5" s="1"/>
  <c r="N35" i="8"/>
  <c r="O33" i="8" s="1"/>
  <c r="J49" i="8"/>
  <c r="J46" i="8"/>
  <c r="J47" i="8" s="1"/>
  <c r="K40" i="8" s="1"/>
  <c r="K42" i="8" s="1"/>
  <c r="K43" i="8" l="1"/>
  <c r="K49" i="8" s="1"/>
  <c r="O34" i="8"/>
  <c r="O37" i="8" s="1"/>
  <c r="T32" i="5"/>
  <c r="U10" i="5" s="1"/>
  <c r="K44" i="8" l="1"/>
  <c r="O35" i="8"/>
  <c r="P33" i="8" s="1"/>
  <c r="P34" i="8" s="1"/>
  <c r="P37" i="8" s="1"/>
  <c r="U14" i="5"/>
  <c r="K46" i="8" l="1"/>
  <c r="K47" i="8" s="1"/>
  <c r="L40" i="8" s="1"/>
  <c r="K45" i="8"/>
  <c r="L41" i="8" s="1"/>
  <c r="P35" i="8"/>
  <c r="Q33" i="8" s="1"/>
  <c r="U29" i="5"/>
  <c r="U31" i="5" s="1"/>
  <c r="U30" i="5" l="1"/>
  <c r="U34" i="5"/>
  <c r="V17" i="5" s="1"/>
  <c r="V26" i="5" s="1"/>
  <c r="L42" i="8"/>
  <c r="L43" i="8" s="1"/>
  <c r="L49" i="8" s="1"/>
  <c r="Q34" i="8"/>
  <c r="Q37" i="8" s="1"/>
  <c r="Q35" i="8" l="1"/>
  <c r="R33" i="8" s="1"/>
  <c r="R34" i="8" s="1"/>
  <c r="R37" i="8" s="1"/>
  <c r="L44" i="8"/>
  <c r="U32" i="5"/>
  <c r="V10" i="5" s="1"/>
  <c r="R35" i="8" l="1"/>
  <c r="S33" i="8" s="1"/>
  <c r="L45" i="8"/>
  <c r="M41" i="8" s="1"/>
  <c r="L46" i="8"/>
  <c r="L47" i="8" s="1"/>
  <c r="M40" i="8" s="1"/>
  <c r="V14" i="5"/>
  <c r="S34" i="8" l="1"/>
  <c r="S37" i="8" s="1"/>
  <c r="M42" i="8"/>
  <c r="M43" i="8" s="1"/>
  <c r="V29" i="5"/>
  <c r="V31" i="5" s="1"/>
  <c r="V30" i="5" l="1"/>
  <c r="V34" i="5"/>
  <c r="W17" i="5" s="1"/>
  <c r="S35" i="8"/>
  <c r="T33" i="8" s="1"/>
  <c r="M49" i="8"/>
  <c r="M44" i="8"/>
  <c r="M45" i="8" s="1"/>
  <c r="N41" i="8" s="1"/>
  <c r="T34" i="8" l="1"/>
  <c r="T37" i="8" s="1"/>
  <c r="M46" i="8"/>
  <c r="M47" i="8" s="1"/>
  <c r="N40" i="8" s="1"/>
  <c r="W26" i="5"/>
  <c r="V32" i="5"/>
  <c r="W10" i="5" s="1"/>
  <c r="T35" i="8" l="1"/>
  <c r="U33" i="8" s="1"/>
  <c r="N42" i="8"/>
  <c r="N43" i="8" s="1"/>
  <c r="W14" i="5"/>
  <c r="U34" i="8" l="1"/>
  <c r="U37" i="8" s="1"/>
  <c r="N49" i="8"/>
  <c r="N44" i="8"/>
  <c r="N46" i="8" s="1"/>
  <c r="N47" i="8" s="1"/>
  <c r="O40" i="8" s="1"/>
  <c r="W29" i="5"/>
  <c r="W31" i="5" s="1"/>
  <c r="W30" i="5" l="1"/>
  <c r="W34" i="5"/>
  <c r="X17" i="5" s="1"/>
  <c r="X26" i="5" s="1"/>
  <c r="N45" i="8"/>
  <c r="O41" i="8" s="1"/>
  <c r="U35" i="8"/>
  <c r="V33" i="8" s="1"/>
  <c r="O42" i="8"/>
  <c r="V34" i="8" l="1"/>
  <c r="V37" i="8" s="1"/>
  <c r="O43" i="8"/>
  <c r="W32" i="5"/>
  <c r="X10" i="5" s="1"/>
  <c r="V35" i="8" l="1"/>
  <c r="O49" i="8"/>
  <c r="O44" i="8"/>
  <c r="O45" i="8" s="1"/>
  <c r="P41" i="8" s="1"/>
  <c r="X14" i="5"/>
  <c r="O46" i="8" l="1"/>
  <c r="O47" i="8" s="1"/>
  <c r="P40" i="8" s="1"/>
  <c r="X29" i="5"/>
  <c r="X31" i="5" s="1"/>
  <c r="X30" i="5" l="1"/>
  <c r="X34" i="5"/>
  <c r="Y17" i="5" s="1"/>
  <c r="P42" i="8"/>
  <c r="P43" i="8" s="1"/>
  <c r="P49" i="8" s="1"/>
  <c r="P44" i="8" l="1"/>
  <c r="P46" i="8" s="1"/>
  <c r="P47" i="8" s="1"/>
  <c r="Q40" i="8" s="1"/>
  <c r="Y26" i="5"/>
  <c r="X32" i="5"/>
  <c r="Y10" i="5" s="1"/>
  <c r="P45" i="8" l="1"/>
  <c r="Q41" i="8" s="1"/>
  <c r="Q42" i="8"/>
  <c r="Y14" i="5"/>
  <c r="Q43" i="8" l="1"/>
  <c r="Q49" i="8" s="1"/>
  <c r="Y29" i="5"/>
  <c r="Y31" i="5" s="1"/>
  <c r="Q44" i="8" l="1"/>
  <c r="Q45" i="8" s="1"/>
  <c r="R41" i="8" s="1"/>
  <c r="Y30" i="5"/>
  <c r="Y34" i="5"/>
  <c r="Q46" i="8" l="1"/>
  <c r="Q47" i="8" s="1"/>
  <c r="R40" i="8" s="1"/>
  <c r="R42" i="8" s="1"/>
  <c r="R43" i="8" s="1"/>
  <c r="Y32" i="5"/>
  <c r="Z17" i="5"/>
  <c r="Z26" i="5" s="1"/>
  <c r="Z10" i="5" l="1"/>
  <c r="AN10" i="5" s="1"/>
  <c r="AP10" i="5" s="1"/>
  <c r="R49" i="8"/>
  <c r="R44" i="8"/>
  <c r="R45" i="8" s="1"/>
  <c r="S41" i="8" s="1"/>
  <c r="E55" i="11" l="1"/>
  <c r="AN14" i="5"/>
  <c r="AP27" i="5" s="1"/>
  <c r="AP28" i="5" s="1"/>
  <c r="Z14" i="5"/>
  <c r="Z29" i="5" s="1"/>
  <c r="Z31" i="5" s="1"/>
  <c r="R46" i="8"/>
  <c r="R47" i="8" s="1"/>
  <c r="S40" i="8" s="1"/>
  <c r="Z30" i="5" l="1"/>
  <c r="Z34" i="5"/>
  <c r="AA17" i="5" s="1"/>
  <c r="AA26" i="5" s="1"/>
  <c r="S42" i="8"/>
  <c r="S43" i="8" s="1"/>
  <c r="Z32" i="5" l="1"/>
  <c r="AA10" i="5" s="1"/>
  <c r="AA14" i="5" s="1"/>
  <c r="AA29" i="5" s="1"/>
  <c r="AA31" i="5" s="1"/>
  <c r="S49" i="8"/>
  <c r="S44" i="8"/>
  <c r="S45" i="8" s="1"/>
  <c r="T41" i="8" s="1"/>
  <c r="AA30" i="5" l="1"/>
  <c r="AA34" i="5"/>
  <c r="AB17" i="5" s="1"/>
  <c r="AB26" i="5" s="1"/>
  <c r="S46" i="8"/>
  <c r="S47" i="8" s="1"/>
  <c r="T40" i="8" s="1"/>
  <c r="T42" i="8" l="1"/>
  <c r="T43" i="8" s="1"/>
  <c r="AA32" i="5"/>
  <c r="AB10" i="5" s="1"/>
  <c r="T49" i="8" l="1"/>
  <c r="T44" i="8"/>
  <c r="T45" i="8" s="1"/>
  <c r="U41" i="8" s="1"/>
  <c r="AB14" i="5"/>
  <c r="AB29" i="5" s="1"/>
  <c r="AB31" i="5" s="1"/>
  <c r="AB30" i="5" l="1"/>
  <c r="AB34" i="5"/>
  <c r="AC17" i="5" s="1"/>
  <c r="AC26" i="5" s="1"/>
  <c r="T46" i="8"/>
  <c r="T47" i="8" s="1"/>
  <c r="U40" i="8" s="1"/>
  <c r="U42" i="8" l="1"/>
  <c r="U43" i="8" s="1"/>
  <c r="AB32" i="5"/>
  <c r="AC10" i="5" l="1"/>
  <c r="AC14" i="5" s="1"/>
  <c r="AC29" i="5" s="1"/>
  <c r="AC31" i="5" s="1"/>
  <c r="U49" i="8"/>
  <c r="U44" i="8"/>
  <c r="U45" i="8" s="1"/>
  <c r="V41" i="8" s="1"/>
  <c r="AC30" i="5" l="1"/>
  <c r="AC34" i="5"/>
  <c r="AD17" i="5" s="1"/>
  <c r="AD26" i="5" s="1"/>
  <c r="U46" i="8"/>
  <c r="U47" i="8" s="1"/>
  <c r="V40" i="8" s="1"/>
  <c r="AC32" i="5" l="1"/>
  <c r="V42" i="8"/>
  <c r="V43" i="8" s="1"/>
  <c r="V49" i="8" s="1"/>
  <c r="AD10" i="5" l="1"/>
  <c r="AD14" i="5" s="1"/>
  <c r="AD29" i="5" s="1"/>
  <c r="AD31" i="5" s="1"/>
  <c r="V44" i="8"/>
  <c r="V46" i="8" s="1"/>
  <c r="V47" i="8" s="1"/>
  <c r="AD30" i="5" l="1"/>
  <c r="AD32" i="5" s="1"/>
  <c r="AD34" i="5"/>
  <c r="AE17" i="5" s="1"/>
  <c r="AE26" i="5" s="1"/>
  <c r="V45" i="8"/>
  <c r="AE10" i="5" l="1"/>
  <c r="AE14" i="5" s="1"/>
  <c r="AE29" i="5" s="1"/>
  <c r="AE31" i="5" s="1"/>
  <c r="AE30" i="5" l="1"/>
  <c r="AE34" i="5"/>
  <c r="AF17" i="5" s="1"/>
  <c r="AF26" i="5" s="1"/>
  <c r="AE32" i="5" l="1"/>
  <c r="AF10" i="5" s="1"/>
  <c r="AF14" i="5" s="1"/>
  <c r="AF29" i="5" s="1"/>
  <c r="AF31" i="5" s="1"/>
  <c r="AF30" i="5" l="1"/>
  <c r="AF32" i="5" s="1"/>
  <c r="AG10" i="5" s="1"/>
  <c r="AF34" i="5" l="1"/>
  <c r="AG17" i="5" s="1"/>
  <c r="AG26" i="5" s="1"/>
  <c r="AG14" i="5"/>
  <c r="AG29" i="5" l="1"/>
  <c r="AG31" i="5" s="1"/>
  <c r="AG30" i="5" l="1"/>
  <c r="AG32" i="5" s="1"/>
  <c r="AH10" i="5" s="1"/>
  <c r="AG34" i="5"/>
  <c r="AH17" i="5" s="1"/>
  <c r="AH26" i="5" s="1"/>
  <c r="AH14" i="5" l="1"/>
  <c r="AH29" i="5" s="1"/>
  <c r="AH31" i="5" s="1"/>
  <c r="AH30" i="5" l="1"/>
  <c r="AH34" i="5"/>
  <c r="AI17" i="5" s="1"/>
  <c r="AI26" i="5" s="1"/>
  <c r="AH32" i="5" l="1"/>
  <c r="AI10" i="5" s="1"/>
  <c r="AI14" i="5" l="1"/>
  <c r="AI29" i="5" s="1"/>
  <c r="AI31" i="5" s="1"/>
  <c r="AI30" i="5" l="1"/>
  <c r="AI34" i="5"/>
  <c r="AJ17" i="5" s="1"/>
  <c r="AJ26" i="5" s="1"/>
  <c r="AI32" i="5" l="1"/>
  <c r="AJ10" i="5" s="1"/>
  <c r="AJ14" i="5" l="1"/>
  <c r="AJ29" i="5" s="1"/>
  <c r="AJ31" i="5" s="1"/>
  <c r="AJ30" i="5" l="1"/>
  <c r="AJ34" i="5"/>
  <c r="AK17" i="5" s="1"/>
  <c r="AK26" i="5" s="1"/>
  <c r="AJ32" i="5" l="1"/>
  <c r="AK10" i="5" l="1"/>
  <c r="AK14" i="5" s="1"/>
  <c r="AK29" i="5" s="1"/>
  <c r="AK31" i="5" s="1"/>
  <c r="AK30" i="5" l="1"/>
  <c r="AK34" i="5"/>
  <c r="AL17" i="5" s="1"/>
  <c r="AL26" i="5" s="1"/>
  <c r="AK32" i="5" l="1"/>
  <c r="AL10" i="5" s="1"/>
  <c r="AL14" i="5" s="1"/>
  <c r="AL29" i="5" s="1"/>
  <c r="AL31" i="5" s="1"/>
  <c r="AL30" i="5" l="1"/>
  <c r="AL32" i="5" s="1"/>
  <c r="AL34" i="5"/>
  <c r="AM17" i="5" s="1"/>
  <c r="AM26" i="5" s="1"/>
  <c r="AM10" i="5" l="1"/>
  <c r="AM14" i="5" s="1"/>
  <c r="AM29" i="5" s="1"/>
  <c r="AM31" i="5" s="1"/>
  <c r="AM30" i="5" l="1"/>
  <c r="AM32" i="5" s="1"/>
  <c r="AM34" i="5"/>
  <c r="AN13" i="5" l="1"/>
  <c r="G102" i="11" l="1"/>
  <c r="F88" i="11"/>
  <c r="H88" i="11" s="1"/>
  <c r="H90" i="11" s="1"/>
  <c r="H106" i="11" s="1"/>
  <c r="B9" i="12" s="1"/>
  <c r="G88" i="11" l="1"/>
  <c r="B17" i="12"/>
  <c r="B18" i="12" s="1"/>
  <c r="B13" i="5"/>
  <c r="F90" i="11"/>
  <c r="D47" i="7" s="1"/>
  <c r="I88" i="11"/>
  <c r="I90" i="11" s="1"/>
  <c r="I106" i="11" s="1"/>
  <c r="B19" i="12" l="1"/>
  <c r="C19" i="12" s="1"/>
  <c r="B24" i="12"/>
  <c r="B25" i="12" s="1"/>
  <c r="C25" i="12" s="1"/>
  <c r="E47" i="7"/>
  <c r="D48" i="7"/>
  <c r="F47" i="7" s="1"/>
  <c r="G90" i="11"/>
  <c r="F106" i="11"/>
  <c r="G106" i="11" s="1"/>
  <c r="AP13" i="5"/>
  <c r="B14" i="5"/>
  <c r="AO13" i="5"/>
  <c r="H58" i="7"/>
  <c r="D52" i="7" l="1"/>
  <c r="E52" i="7" s="1"/>
  <c r="F41" i="7"/>
  <c r="F42" i="7"/>
  <c r="F55" i="7"/>
  <c r="F56" i="7"/>
  <c r="F57" i="7"/>
  <c r="E48" i="7"/>
  <c r="F58" i="7"/>
  <c r="F38" i="7"/>
  <c r="F48" i="7"/>
  <c r="F39" i="7"/>
  <c r="G48" i="7"/>
  <c r="F40" i="7"/>
  <c r="F51" i="7"/>
  <c r="F59" i="7" s="1"/>
  <c r="F43" i="7"/>
  <c r="F44" i="7"/>
  <c r="F53" i="7"/>
  <c r="F45" i="7"/>
  <c r="F46" i="7"/>
  <c r="F54" i="7"/>
  <c r="D59" i="7" l="1"/>
  <c r="D61" i="7" s="1"/>
  <c r="F61" i="7" s="1"/>
  <c r="F52" i="7"/>
  <c r="B19" i="5"/>
  <c r="E61" i="7"/>
  <c r="AP19" i="5"/>
  <c r="B26" i="5"/>
  <c r="AO19" i="5"/>
  <c r="AO26" i="5" l="1"/>
  <c r="AP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S. Lathom</author>
  </authors>
  <commentList>
    <comment ref="K57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Assumes use of same Utility Allowance Calculations for each subsidy program; this may not always be the case.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S. Lathom</author>
  </authors>
  <commentList>
    <comment ref="C40" authorId="0" shapeId="0" xr:uid="{8A3B255F-A4FC-418C-A196-7072370A665D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>Will need to adjust formula if multiple sources of City funding.</t>
        </r>
      </text>
    </comment>
    <comment ref="A47" authorId="0" shapeId="0" xr:uid="{F0FC0A6B-660D-428B-84FF-3BAE83DC0508}">
      <text>
        <r>
          <rPr>
            <b/>
            <sz val="9"/>
            <color indexed="81"/>
            <rFont val="Tahoma"/>
            <family val="2"/>
          </rPr>
          <t xml:space="preserve">Note: </t>
        </r>
        <r>
          <rPr>
            <sz val="9"/>
            <color indexed="81"/>
            <rFont val="Tahoma"/>
            <family val="2"/>
          </rPr>
          <t xml:space="preserve">Assumes simple interest, i.e., interest is not charged on accrued interest.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<sst xmlns="http://schemas.openxmlformats.org/spreadsheetml/2006/main" count="707" uniqueCount="420">
  <si>
    <t>PROJECT SUMMARY</t>
  </si>
  <si>
    <t>Project Information</t>
  </si>
  <si>
    <t>Project Name:</t>
  </si>
  <si>
    <t>Neighborhood:</t>
  </si>
  <si>
    <t>Street Address:</t>
  </si>
  <si>
    <t>City:</t>
  </si>
  <si>
    <t>County:</t>
  </si>
  <si>
    <t>Zip Code:</t>
  </si>
  <si>
    <t>Developer/Sponsor/Owner Information</t>
  </si>
  <si>
    <t>Owner:</t>
  </si>
  <si>
    <t>Address:</t>
  </si>
  <si>
    <t>Contact:</t>
  </si>
  <si>
    <t>Phone:</t>
  </si>
  <si>
    <t>Email:</t>
  </si>
  <si>
    <t>New/Rehab:</t>
  </si>
  <si>
    <t>HOME Units:</t>
  </si>
  <si>
    <t>Fixed/Floating:</t>
  </si>
  <si>
    <t>Unit Mix</t>
  </si>
  <si>
    <t>Efficiency</t>
  </si>
  <si>
    <t>1 BR</t>
  </si>
  <si>
    <t>2 BR</t>
  </si>
  <si>
    <t>3 BR</t>
  </si>
  <si>
    <t>4 BR</t>
  </si>
  <si>
    <t>Total</t>
  </si>
  <si>
    <t>30% AMI</t>
  </si>
  <si>
    <t>40% AMI</t>
  </si>
  <si>
    <t>50% AMI</t>
  </si>
  <si>
    <t>60% AMI</t>
  </si>
  <si>
    <t>70% AMI</t>
  </si>
  <si>
    <t>80% AMI</t>
  </si>
  <si>
    <t>Market Rate</t>
  </si>
  <si>
    <t xml:space="preserve">Total </t>
  </si>
  <si>
    <t>Year 1</t>
  </si>
  <si>
    <t>Annual</t>
  </si>
  <si>
    <t>Per Unit</t>
  </si>
  <si>
    <t>Gross Rent Potential:</t>
  </si>
  <si>
    <t>Avg Rent (Mo):</t>
  </si>
  <si>
    <t>Other Income:</t>
  </si>
  <si>
    <t>Avg Sq. Ft./Unit:</t>
  </si>
  <si>
    <t>Operating Expenses:</t>
  </si>
  <si>
    <t>Total Sq. Ft.</t>
  </si>
  <si>
    <t>Net Operating Income:</t>
  </si>
  <si>
    <t>Debt Service</t>
  </si>
  <si>
    <t>Cash Flow:</t>
  </si>
  <si>
    <t>Debt Coverage Ratio:</t>
  </si>
  <si>
    <t>Development Costs</t>
  </si>
  <si>
    <t>% of Total</t>
  </si>
  <si>
    <t>Per SqFt</t>
  </si>
  <si>
    <t>Total Development Costs</t>
  </si>
  <si>
    <t>Permanent Sources</t>
  </si>
  <si>
    <t>Mortgage</t>
  </si>
  <si>
    <t>LIHTC Equity</t>
  </si>
  <si>
    <t>HOME</t>
  </si>
  <si>
    <t>FHLB AHP</t>
  </si>
  <si>
    <t>Other</t>
  </si>
  <si>
    <t>Preconversion NOI (from Lease-Up)</t>
  </si>
  <si>
    <t>Deferred Developer Fee</t>
  </si>
  <si>
    <t>Total Sources</t>
  </si>
  <si>
    <r>
      <rPr>
        <b/>
        <sz val="10"/>
        <color indexed="10"/>
        <rFont val="Bierstadt"/>
        <family val="2"/>
      </rPr>
      <t>(Gap)</t>
    </r>
    <r>
      <rPr>
        <b/>
        <sz val="10"/>
        <color indexed="56"/>
        <rFont val="Bierstadt"/>
        <family val="2"/>
      </rPr>
      <t xml:space="preserve"> or Surplus</t>
    </r>
  </si>
  <si>
    <t>Notes:</t>
  </si>
  <si>
    <t>0 BR Units</t>
  </si>
  <si>
    <t># of Units</t>
  </si>
  <si>
    <t xml:space="preserve">% AMI </t>
  </si>
  <si>
    <t>Baths</t>
  </si>
  <si>
    <t>Sq. Ft.</t>
  </si>
  <si>
    <t>Rent</t>
  </si>
  <si>
    <t>Rent (Mo)</t>
  </si>
  <si>
    <t>Rent (Yr)</t>
  </si>
  <si>
    <t>UA</t>
  </si>
  <si>
    <t>Gross Rent</t>
  </si>
  <si>
    <t>LIHTC Limit</t>
  </si>
  <si>
    <t>HOME Limit</t>
  </si>
  <si>
    <t>Tot. Sq Ft</t>
  </si>
  <si>
    <t>Effective Rent</t>
  </si>
  <si>
    <t>Assumes Low-HOME Designation if HOME</t>
  </si>
  <si>
    <t>Assumes High-HOME Designation if HOME</t>
  </si>
  <si>
    <t>Mkt</t>
  </si>
  <si>
    <t>N/A</t>
  </si>
  <si>
    <t>Subtotal</t>
  </si>
  <si>
    <t>1 BR Units</t>
  </si>
  <si>
    <t>2 BR Units</t>
  </si>
  <si>
    <t>3 BR Units</t>
  </si>
  <si>
    <t>4 BR Units</t>
  </si>
  <si>
    <t>Totals</t>
  </si>
  <si>
    <t>Units</t>
  </si>
  <si>
    <t>Tot. Sq. ft.</t>
  </si>
  <si>
    <t>Gross Rent Potential</t>
  </si>
  <si>
    <t>Per Unit Avg</t>
  </si>
  <si>
    <t>Other Income</t>
  </si>
  <si>
    <t>Monthly</t>
  </si>
  <si>
    <t>Annually</t>
  </si>
  <si>
    <t>Utility Allowances</t>
  </si>
  <si>
    <t>Miscellaneous &amp; Interest</t>
  </si>
  <si>
    <t>0 Bedrooms</t>
  </si>
  <si>
    <t>Laundry</t>
  </si>
  <si>
    <t xml:space="preserve">1 Bedroom  </t>
  </si>
  <si>
    <t>Tenant Charges (late fees, nonsufficient funds, etc)</t>
  </si>
  <si>
    <t>2 Bedrooms</t>
  </si>
  <si>
    <t>Other:</t>
  </si>
  <si>
    <t>3 Bedrooms</t>
  </si>
  <si>
    <t>4 Bedrooms</t>
  </si>
  <si>
    <t>PUPY</t>
  </si>
  <si>
    <t>Eff. Yr.</t>
  </si>
  <si>
    <t>Household Income Limits</t>
  </si>
  <si>
    <t>Imputed Income Limits</t>
  </si>
  <si>
    <t>AMI/HH Size</t>
  </si>
  <si>
    <t>1 per</t>
  </si>
  <si>
    <t>2 ppl</t>
  </si>
  <si>
    <t>3 ppl</t>
  </si>
  <si>
    <t>4 ppl</t>
  </si>
  <si>
    <t>5 ppl</t>
  </si>
  <si>
    <t>6 ppl</t>
  </si>
  <si>
    <t>1.5 ppl</t>
  </si>
  <si>
    <t>4.5 ppl</t>
  </si>
  <si>
    <t>100% AMI</t>
  </si>
  <si>
    <t>(0 Bedroom)</t>
  </si>
  <si>
    <t>(2 Bedroom)</t>
  </si>
  <si>
    <t>(4 Bedroom)</t>
  </si>
  <si>
    <t>(1 Bedroom)</t>
  </si>
  <si>
    <t>(3 Bedroom)</t>
  </si>
  <si>
    <t>Gross Rent Limits</t>
  </si>
  <si>
    <t>Low-HOME</t>
  </si>
  <si>
    <t>High-HOME</t>
  </si>
  <si>
    <t>HTF</t>
  </si>
  <si>
    <t>FMR</t>
  </si>
  <si>
    <t>HUD Sources</t>
  </si>
  <si>
    <t>HOME Income Limits</t>
  </si>
  <si>
    <t>HOME Rent Limits</t>
  </si>
  <si>
    <t>HTF Rent Limits</t>
  </si>
  <si>
    <r>
      <t xml:space="preserve">Tax Credit Gross Rent Limits - </t>
    </r>
    <r>
      <rPr>
        <i/>
        <sz val="10"/>
        <color rgb="FFFF0000"/>
        <rFont val="Bierstadt"/>
        <family val="2"/>
      </rPr>
      <t>(</t>
    </r>
    <r>
      <rPr>
        <sz val="10"/>
        <color rgb="FFFF0000"/>
        <rFont val="Bierstadt"/>
        <family val="2"/>
      </rPr>
      <t>Assumes HOME Income Chart is parallel to MTSP Chart)</t>
    </r>
  </si>
  <si>
    <t>20%AMI</t>
  </si>
  <si>
    <t>REVENUE</t>
  </si>
  <si>
    <t>% Revenue</t>
  </si>
  <si>
    <t>Notes</t>
  </si>
  <si>
    <t>Other Revenue</t>
  </si>
  <si>
    <t>Combined Vacancy Factor</t>
  </si>
  <si>
    <t>Net Income</t>
  </si>
  <si>
    <t>OPERATING EXPENSES</t>
  </si>
  <si>
    <t>Administration &amp; Management</t>
  </si>
  <si>
    <t>Management Fee</t>
  </si>
  <si>
    <t>Management Payroll</t>
  </si>
  <si>
    <t>Legal/Partnership</t>
  </si>
  <si>
    <t>Accounting/Audit</t>
  </si>
  <si>
    <t>Advertising</t>
  </si>
  <si>
    <t>Telephone/Internet</t>
  </si>
  <si>
    <t>Office Supplies</t>
  </si>
  <si>
    <t>Compliance Monitoring</t>
  </si>
  <si>
    <t xml:space="preserve">Other: </t>
  </si>
  <si>
    <t>Maintenance &amp; Operations</t>
  </si>
  <si>
    <t>Security</t>
  </si>
  <si>
    <t>Ops/Maintenance Payroll</t>
  </si>
  <si>
    <t>Elevator Maintenance</t>
  </si>
  <si>
    <t>Other Mechanical</t>
  </si>
  <si>
    <t>Unit Turns/Make Ready</t>
  </si>
  <si>
    <t>Routine Repairs &amp; Supplies</t>
  </si>
  <si>
    <t>Extermination</t>
  </si>
  <si>
    <t>Grounds (Landscape/Snow)</t>
  </si>
  <si>
    <t>Utilities</t>
  </si>
  <si>
    <t>Electricity</t>
  </si>
  <si>
    <t>Natural Gas/Oil/Other</t>
  </si>
  <si>
    <t>Water/Sewer</t>
  </si>
  <si>
    <t>Garbage Removal</t>
  </si>
  <si>
    <t>Tax &amp; Insurance</t>
  </si>
  <si>
    <t>Real Estate Taxes</t>
  </si>
  <si>
    <t>Other Taxes/Licenses</t>
  </si>
  <si>
    <t>Hazard &amp; Liability Insurance</t>
  </si>
  <si>
    <t>Subtotal Operating Expenses</t>
  </si>
  <si>
    <t>Replacement Reserve</t>
  </si>
  <si>
    <t>Total OpEx &amp; Replacement Reserve</t>
  </si>
  <si>
    <t>Net Operating Income</t>
  </si>
  <si>
    <t>MORTGAGE/DEBT SERVICE</t>
  </si>
  <si>
    <t>Debt Service Coverage Ratio</t>
  </si>
  <si>
    <t>Max Mortgage Pmt</t>
  </si>
  <si>
    <t>Interest Rate</t>
  </si>
  <si>
    <t>Calculated Mortgage</t>
  </si>
  <si>
    <t>Actual Mortgage</t>
  </si>
  <si>
    <t>Actual Mortgage Payment (annual)</t>
  </si>
  <si>
    <t>Actual DSCR</t>
  </si>
  <si>
    <t>INITIAL CASH FLOW</t>
  </si>
  <si>
    <t>20 YEAR CASH FLOW</t>
  </si>
  <si>
    <t>Year</t>
  </si>
  <si>
    <t>Inflator</t>
  </si>
  <si>
    <t>Net Revenue</t>
  </si>
  <si>
    <t>Subtotal Op Ex</t>
  </si>
  <si>
    <t>Total OpEx &amp; Replacement Reserves</t>
  </si>
  <si>
    <t>Debt Coverage Ratio</t>
  </si>
  <si>
    <t>Operating Margin [CF/(OpEx+RR+DS)]</t>
  </si>
  <si>
    <r>
      <t xml:space="preserve">Deferred Dev Fee - </t>
    </r>
    <r>
      <rPr>
        <i/>
        <sz val="10"/>
        <rFont val="Bierstadt"/>
        <family val="2"/>
      </rPr>
      <t>Assuming HOME Pmts Begin After DDF</t>
    </r>
  </si>
  <si>
    <t>Deferred Fee Starting Balance</t>
  </si>
  <si>
    <t xml:space="preserve">To Deferred Fee </t>
  </si>
  <si>
    <t>Ending Balance</t>
  </si>
  <si>
    <t>Available Cash (After DDF)</t>
  </si>
  <si>
    <t xml:space="preserve">Payment on HOME Loan(s) - % of Available Cash Flow </t>
  </si>
  <si>
    <t>Principal Forward</t>
  </si>
  <si>
    <t>Accrued Interest</t>
  </si>
  <si>
    <t>Rate</t>
  </si>
  <si>
    <t>Current Interest (Simple)</t>
  </si>
  <si>
    <t>Payment</t>
  </si>
  <si>
    <t>Interest Paid</t>
  </si>
  <si>
    <t>Interest Forward</t>
  </si>
  <si>
    <t>Principal Paid</t>
  </si>
  <si>
    <t>Ending Principal</t>
  </si>
  <si>
    <t>Remaining Cash Flow (After HOME Pmt)</t>
  </si>
  <si>
    <t>Operating Deficit Reserve Analysis</t>
  </si>
  <si>
    <t>Starting Balance</t>
  </si>
  <si>
    <t>Annual Operating Deficit</t>
  </si>
  <si>
    <t>Interest Earned</t>
  </si>
  <si>
    <t>BUILDING &amp; PROPERTY ACQUISITION</t>
  </si>
  <si>
    <t>LIHTC Basis</t>
  </si>
  <si>
    <t>HOME Eligible</t>
  </si>
  <si>
    <t>Land</t>
  </si>
  <si>
    <t>Existing Buildings</t>
  </si>
  <si>
    <t>Demolition</t>
  </si>
  <si>
    <t>Land &amp; Bld-Legal</t>
  </si>
  <si>
    <t>Land &amp; Bld-Title &amp; Closing</t>
  </si>
  <si>
    <t xml:space="preserve">Land &amp; Bldg-Other: </t>
  </si>
  <si>
    <t>Subtotal Acquisition:</t>
  </si>
  <si>
    <t>CONSTRUCTION COSTS</t>
  </si>
  <si>
    <t>Site Improvements (On-Site)</t>
  </si>
  <si>
    <t>Inside Contract</t>
  </si>
  <si>
    <t>Off-Site Costs &amp; Infrastructure</t>
  </si>
  <si>
    <t>Outside Contract</t>
  </si>
  <si>
    <t>Usually off-site not in basis</t>
  </si>
  <si>
    <t>Other Site Work</t>
  </si>
  <si>
    <t>Unit Structures-New</t>
  </si>
  <si>
    <t>Unit Structures-Rehab</t>
  </si>
  <si>
    <t>Accessory Structures</t>
  </si>
  <si>
    <t>Confirm whether accessory structures in basis</t>
  </si>
  <si>
    <t>Commercial Space Costs</t>
  </si>
  <si>
    <t>Subtotal Base Contract:</t>
  </si>
  <si>
    <t>General Requirements</t>
  </si>
  <si>
    <t>of Base Contract</t>
  </si>
  <si>
    <t>Contractor Overhead</t>
  </si>
  <si>
    <t>8% for new construction over 60 units, and 10% for all others</t>
  </si>
  <si>
    <t>Contractor Profit</t>
  </si>
  <si>
    <t>Total Construction Contract</t>
  </si>
  <si>
    <t>Subtotal Construction:</t>
  </si>
  <si>
    <t>Construction Contingency</t>
  </si>
  <si>
    <t>of total contract</t>
  </si>
  <si>
    <t>Usually exclude contingency from HOME for cost allocation</t>
  </si>
  <si>
    <t>ARCHITECTURAL &amp; ENGINEERING FEES</t>
  </si>
  <si>
    <t>Architect (Design)</t>
  </si>
  <si>
    <t>Architect (Supervision)</t>
  </si>
  <si>
    <t>Engineering &amp; Survey</t>
  </si>
  <si>
    <t xml:space="preserve">Arch &amp; Eng-Other: </t>
  </si>
  <si>
    <t>Subtotal Arch &amp; Eng:</t>
  </si>
  <si>
    <t xml:space="preserve">PERMITS </t>
  </si>
  <si>
    <t>Building Permits</t>
  </si>
  <si>
    <t>Tap Fees</t>
  </si>
  <si>
    <t>Permits-Plan Checks</t>
  </si>
  <si>
    <t>Impact Fees</t>
  </si>
  <si>
    <t>Subtotal Permits:</t>
  </si>
  <si>
    <t>LEGAL &amp; ACCOUNTING</t>
  </si>
  <si>
    <t>Borrower's Legal</t>
  </si>
  <si>
    <t>Owner's Title &amp; Recording</t>
  </si>
  <si>
    <t>Subtotal Legal &amp; Accounting:</t>
  </si>
  <si>
    <t>CARRYING &amp; CONSTRUCTION FINANCING COSTS</t>
  </si>
  <si>
    <t>Builder's Risk Insurance</t>
  </si>
  <si>
    <t>Property Insurance</t>
  </si>
  <si>
    <t>Construction Lender Fees</t>
  </si>
  <si>
    <t>Construction Lender Legal</t>
  </si>
  <si>
    <t>Construction Interest</t>
  </si>
  <si>
    <t>Confirm how much interest in v. out of basis</t>
  </si>
  <si>
    <t>Construction Loan Origination Fee</t>
  </si>
  <si>
    <t>Construction Lender Title &amp; Recording</t>
  </si>
  <si>
    <t>Taxes During Construction</t>
  </si>
  <si>
    <t>Legal Fees for Closing</t>
  </si>
  <si>
    <t>Bonding Fee</t>
  </si>
  <si>
    <t>Interim Costs-Other</t>
  </si>
  <si>
    <t>Subtotal Carrying &amp; Construction Financing Costs:</t>
  </si>
  <si>
    <t>PERMANENT FINANCING</t>
  </si>
  <si>
    <t>Perm-Credit Report</t>
  </si>
  <si>
    <t>Permanent Lender Fees</t>
  </si>
  <si>
    <t>Permanent Lender Title &amp; Recording</t>
  </si>
  <si>
    <t>Legal Costs</t>
  </si>
  <si>
    <t>Lender Due Diligence</t>
  </si>
  <si>
    <t>HOME PJ's Project Related Soft Costs</t>
  </si>
  <si>
    <t>Subtotal Permanent Financing &amp; Syndication:</t>
  </si>
  <si>
    <t>SOFT COSTS</t>
  </si>
  <si>
    <t>Appraisal</t>
  </si>
  <si>
    <t>Market Study</t>
  </si>
  <si>
    <t>Environmental Reviews &amp; Reports (Phase I, Phase II, etc)</t>
  </si>
  <si>
    <t>Soil Borings</t>
  </si>
  <si>
    <t>Tax Credit Fees (reservation/monitoring)</t>
  </si>
  <si>
    <t>Partnership &amp; Organization Expense</t>
  </si>
  <si>
    <t>Organizational/Legal (inc. tax opinion)</t>
  </si>
  <si>
    <t>Accounting &amp; Cost Certification</t>
  </si>
  <si>
    <t>Application Fees</t>
  </si>
  <si>
    <t>Furniture, Fixtures &amp; Equipment (FF&amp;E)</t>
  </si>
  <si>
    <t>Relocation</t>
  </si>
  <si>
    <t>Subtotal Soft Costs:</t>
  </si>
  <si>
    <t>DEVELOPER FEE</t>
  </si>
  <si>
    <t>of other costs less Reserves/Startup</t>
  </si>
  <si>
    <t>New construction limited to 15% up to 60 units, and 12% if greater than 60 units</t>
  </si>
  <si>
    <t>Consultant Fee</t>
  </si>
  <si>
    <t>Acquisition limited to 5%; Rehab limited to 15%</t>
  </si>
  <si>
    <t>Subtotal Developer Fee:</t>
  </si>
  <si>
    <t>RESERVES &amp; START UP</t>
  </si>
  <si>
    <t>Rent Up Reserve</t>
  </si>
  <si>
    <t>Calc. in Lease Up:</t>
  </si>
  <si>
    <t>Operating Reserve</t>
  </si>
  <si>
    <t>months of OpEx/RR/debt</t>
  </si>
  <si>
    <t>Capitalized Operating Deficit Reserve</t>
  </si>
  <si>
    <t>Calc. in Cash Flow:</t>
  </si>
  <si>
    <t>Capitalized Replacement Reserve</t>
  </si>
  <si>
    <t>Marketing/Advertising</t>
  </si>
  <si>
    <t>Subtotal Reserves &amp; Startup:</t>
  </si>
  <si>
    <t>Subtotal Hard &amp; Soft Costs:</t>
  </si>
  <si>
    <t>TOTAL DEVELOPMENT COSTS:</t>
  </si>
  <si>
    <t>Total Units</t>
  </si>
  <si>
    <t>Affordable Units</t>
  </si>
  <si>
    <t>Applicable Fraction (Calc by Units)</t>
  </si>
  <si>
    <t>Applicable Fraction (Applied)</t>
  </si>
  <si>
    <t>Acquisition Basis</t>
  </si>
  <si>
    <t>Rehab/Construction Basis</t>
  </si>
  <si>
    <t>Basis Boost</t>
  </si>
  <si>
    <t>Acq. Credit (i.e. 4%) Rate</t>
  </si>
  <si>
    <t>Rehab/Construction Credit Rate</t>
  </si>
  <si>
    <t>Annual Acquisition Credit</t>
  </si>
  <si>
    <t>Annual Rehab/Construction Credit</t>
  </si>
  <si>
    <t>Maximum Annual Credit</t>
  </si>
  <si>
    <t>Credit Award Sought</t>
  </si>
  <si>
    <t>Equity Pricing (per $1.00)</t>
  </si>
  <si>
    <t>Investor Percentage</t>
  </si>
  <si>
    <t>Anticipated Equity</t>
  </si>
  <si>
    <t>Actual Equity</t>
  </si>
  <si>
    <t>variance from anticipated equity</t>
  </si>
  <si>
    <t>Explain any differences between maximum annual credit (calculated on total basis) and actual credit award sought (e.g. QAP caps award, voluntary reduction in basis, etc.):</t>
  </si>
  <si>
    <t>CONSTRUCTION PERIOD CASH FLOW</t>
  </si>
  <si>
    <t>Closing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</si>
  <si>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</si>
  <si>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</si>
  <si>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</si>
  <si>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</si>
  <si>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</si>
  <si>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</si>
  <si>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</si>
  <si>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</si>
  <si>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</si>
  <si>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</si>
  <si>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</si>
  <si>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</si>
  <si>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</si>
  <si>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</si>
  <si>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</si>
  <si>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</si>
  <si>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</si>
  <si>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</si>
  <si>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</si>
  <si>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</si>
  <si>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</si>
  <si>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</si>
  <si>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</si>
  <si>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</si>
  <si>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</si>
  <si>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</si>
  <si>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</si>
  <si>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</si>
  <si>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</si>
  <si>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</si>
  <si>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</si>
  <si>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</si>
  <si>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</si>
  <si>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</si>
  <si>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</si>
  <si>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</si>
  <si>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USES OF FUNDS</t>
  </si>
  <si>
    <t>Budget</t>
  </si>
  <si>
    <t>Balanced?</t>
  </si>
  <si>
    <t>Variance</t>
  </si>
  <si>
    <t>Soft Costs</t>
  </si>
  <si>
    <t>Acquisition</t>
  </si>
  <si>
    <t>Construction</t>
  </si>
  <si>
    <t>Legal &amp; Accounting</t>
  </si>
  <si>
    <r>
      <t>Carrying &amp; Construction Financing</t>
    </r>
    <r>
      <rPr>
        <sz val="8"/>
        <rFont val="Bierstadt"/>
        <family val="2"/>
      </rPr>
      <t xml:space="preserve"> (exc. Int.)</t>
    </r>
  </si>
  <si>
    <t xml:space="preserve">Construction Interest </t>
  </si>
  <si>
    <t>Permanent Financing &amp; Syndication</t>
  </si>
  <si>
    <t>Reserves &amp; Start-Up</t>
  </si>
  <si>
    <t>Developer Fee</t>
  </si>
  <si>
    <t>SUBTOTAL USES</t>
  </si>
  <si>
    <r>
      <rPr>
        <i/>
        <sz val="9"/>
        <color theme="1"/>
        <rFont val="Bierstadt"/>
        <family val="2"/>
      </rPr>
      <t>Subtotal above excludes construction interest</t>
    </r>
    <r>
      <rPr>
        <sz val="9"/>
        <color theme="1"/>
        <rFont val="Bierstadt"/>
        <family val="2"/>
      </rPr>
      <t xml:space="preserve"> </t>
    </r>
    <r>
      <rPr>
        <sz val="9"/>
        <color theme="1"/>
        <rFont val="Wingdings 3"/>
        <family val="1"/>
        <charset val="2"/>
      </rPr>
      <t></t>
    </r>
    <r>
      <rPr>
        <sz val="9"/>
        <color theme="1"/>
        <rFont val="Bierstadt"/>
        <family val="2"/>
      </rPr>
      <t xml:space="preserve"> </t>
    </r>
  </si>
  <si>
    <r>
      <rPr>
        <sz val="9"/>
        <rFont val="Wingdings 3"/>
        <family val="1"/>
        <charset val="2"/>
      </rPr>
      <t></t>
    </r>
    <r>
      <rPr>
        <sz val="9"/>
        <rFont val="Bierstadt"/>
        <family val="2"/>
      </rPr>
      <t xml:space="preserve">  </t>
    </r>
    <r>
      <rPr>
        <i/>
        <sz val="9"/>
        <rFont val="Bierstadt"/>
        <family val="2"/>
      </rPr>
      <t>Subtotal above includes construction interest</t>
    </r>
  </si>
  <si>
    <t>SOURCES OF FUNDS</t>
  </si>
  <si>
    <t>Prior Month Ending Cash</t>
  </si>
  <si>
    <t>SUBTOTAL SOURCES</t>
  </si>
  <si>
    <t>Sources less Uses:</t>
  </si>
  <si>
    <t>CONSTRUCTION LOAN</t>
  </si>
  <si>
    <t>As a % of Total Uses:</t>
  </si>
  <si>
    <t>Monthly (Deficit)/Surplus</t>
  </si>
  <si>
    <t>Construction Loan Draw</t>
  </si>
  <si>
    <t>Construction Loan Payment</t>
  </si>
  <si>
    <t>Balance (Principal Only)</t>
  </si>
  <si>
    <t>Ending Monthly Cash</t>
  </si>
  <si>
    <t>Rent Potential</t>
  </si>
  <si>
    <t>Sum of Monthly Deficits</t>
  </si>
  <si>
    <t>OpEx (less RR)</t>
  </si>
  <si>
    <t>Sum of Monthly NOI</t>
  </si>
  <si>
    <t>Repl Reserve</t>
  </si>
  <si>
    <t>Net Pre-conversion NOI</t>
  </si>
  <si>
    <t>RR Dep Start at:</t>
  </si>
  <si>
    <t>Conversion</t>
  </si>
  <si>
    <t>NOI Underwriting Factor</t>
  </si>
  <si>
    <t>Montlhly NOI as Source</t>
  </si>
  <si>
    <t>Initial Delivery of Units</t>
  </si>
  <si>
    <t>(Enter dates as 1st of month, will show as MM/YYYY)</t>
  </si>
  <si>
    <t>Permanent Conversion</t>
  </si>
  <si>
    <t>Month</t>
  </si>
  <si>
    <t>Percent Leased</t>
  </si>
  <si>
    <t>Operating Expense</t>
  </si>
  <si>
    <t>Reserve Deposit</t>
  </si>
  <si>
    <t>Total Expenses</t>
  </si>
  <si>
    <t>Monthly (Deficit) or NOI</t>
  </si>
  <si>
    <t>Mgt Fee Inflation</t>
  </si>
  <si>
    <t>Inflation Factor</t>
  </si>
  <si>
    <t>Revenue Percentage</t>
  </si>
  <si>
    <t xml:space="preserve">If IOI with sponsor, developer, or consultant total contractor fee is limited to </t>
  </si>
  <si>
    <t>Loan Term (years)</t>
  </si>
  <si>
    <t>variance from anticipated applicable fraction</t>
  </si>
  <si>
    <t>Boise City, ID HUD Metro FMR Area</t>
  </si>
  <si>
    <t>As calc. in Constr. Cash Flow: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</si>
</sst>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00%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General_)"/>
    <numFmt numFmtId="170" formatCode="&quot;$&quot;#,##0.00"/>
    <numFmt numFmtId="171" formatCode="&quot;$&quot;#,##0.0_);[Red]\(&quot;$&quot;#,##0.0\)"/>
    <numFmt numFmtId="172" formatCode="mmm\-yyyy"/>
    <numFmt numFmtId="173" formatCode="#,##0.0000_);[Red]\(#,##0.0000\)"/>
  </numFmts>
  <fonts count="71">
    <font>
      <sz val="10"/>
      <name val="Arial"/>
    </font>
    <font>
      <sz val="10"/>
      <name val="Arial"/>
      <family val="2"/>
    </font>
    <font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10"/>
      <name val="Bierstadt"/>
      <family val="2"/>
    </font>
    <font>
      <i/>
      <sz val="10"/>
      <name val="Bierstadt"/>
      <family val="2"/>
    </font>
    <font>
      <b/>
      <i/>
      <sz val="10"/>
      <name val="Bierstadt"/>
      <family val="2"/>
    </font>
    <font>
      <sz val="10"/>
      <color theme="1"/>
      <name val="Bierstadt"/>
      <family val="2"/>
    </font>
    <font>
      <b/>
      <sz val="10"/>
      <name val="Bierstadt"/>
      <family val="2"/>
    </font>
    <font>
      <u/>
      <sz val="10"/>
      <name val="Bierstadt"/>
      <family val="2"/>
    </font>
    <font>
      <b/>
      <sz val="10"/>
      <color theme="1"/>
      <name val="Bierstad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name val="Bierstadt"/>
      <family val="2"/>
    </font>
    <font>
      <b/>
      <sz val="9"/>
      <name val="Bierstadt"/>
      <family val="2"/>
    </font>
    <font>
      <sz val="9"/>
      <name val="Bierstadt"/>
      <family val="2"/>
    </font>
    <font>
      <sz val="10"/>
      <color indexed="60"/>
      <name val="Bierstadt"/>
      <family val="2"/>
    </font>
    <font>
      <sz val="10"/>
      <color indexed="8"/>
      <name val="Bierstadt"/>
      <family val="2"/>
    </font>
    <font>
      <b/>
      <sz val="11"/>
      <name val="Bierstadt"/>
      <family val="2"/>
    </font>
    <font>
      <sz val="10"/>
      <color indexed="10"/>
      <name val="Bierstadt"/>
      <family val="2"/>
    </font>
    <font>
      <b/>
      <sz val="10"/>
      <color indexed="8"/>
      <name val="Bierstadt"/>
      <family val="2"/>
    </font>
    <font>
      <sz val="9"/>
      <color indexed="8"/>
      <name val="Bierstadt"/>
      <family val="2"/>
    </font>
    <font>
      <b/>
      <sz val="9"/>
      <color indexed="8"/>
      <name val="Bierstadt"/>
      <family val="2"/>
    </font>
    <font>
      <i/>
      <sz val="9"/>
      <color indexed="8"/>
      <name val="Bierstadt"/>
      <family val="2"/>
    </font>
    <font>
      <b/>
      <i/>
      <sz val="9"/>
      <color indexed="8"/>
      <name val="Bierstadt"/>
      <family val="2"/>
    </font>
    <font>
      <i/>
      <sz val="9"/>
      <name val="Bierstadt"/>
      <family val="2"/>
    </font>
    <font>
      <i/>
      <sz val="10"/>
      <color indexed="8"/>
      <name val="Bierstadt"/>
      <family val="2"/>
    </font>
    <font>
      <b/>
      <sz val="10"/>
      <color indexed="56"/>
      <name val="Bierstadt"/>
      <family val="2"/>
    </font>
    <font>
      <b/>
      <i/>
      <sz val="10"/>
      <color indexed="56"/>
      <name val="Bierstadt"/>
      <family val="2"/>
    </font>
    <font>
      <i/>
      <sz val="10"/>
      <color theme="1" tint="0.499984740745262"/>
      <name val="Bierstadt"/>
      <family val="2"/>
    </font>
    <font>
      <sz val="10"/>
      <color rgb="FFFF0000"/>
      <name val="Bierstadt"/>
      <family val="2"/>
    </font>
    <font>
      <sz val="12"/>
      <name val="Bierstadt"/>
      <family val="2"/>
    </font>
    <font>
      <sz val="11"/>
      <name val="Bierstadt"/>
      <family val="2"/>
    </font>
    <font>
      <sz val="8"/>
      <name val="Bierstadt"/>
      <family val="2"/>
    </font>
    <font>
      <sz val="9"/>
      <name val="Wingdings 3"/>
      <family val="1"/>
      <charset val="2"/>
    </font>
    <font>
      <sz val="9"/>
      <name val="Bierstadt"/>
      <family val="1"/>
      <charset val="2"/>
    </font>
    <font>
      <sz val="9"/>
      <color theme="1"/>
      <name val="Wingdings 3"/>
      <family val="1"/>
      <charset val="2"/>
    </font>
    <font>
      <sz val="9"/>
      <color theme="1"/>
      <name val="Bierstadt"/>
      <family val="2"/>
    </font>
    <font>
      <i/>
      <sz val="9"/>
      <color theme="1"/>
      <name val="Bierstadt"/>
      <family val="2"/>
    </font>
    <font>
      <b/>
      <sz val="8"/>
      <name val="Bierstadt"/>
      <family val="2"/>
    </font>
    <font>
      <u/>
      <sz val="10"/>
      <color theme="10"/>
      <name val="Arial"/>
      <family val="2"/>
    </font>
    <font>
      <i/>
      <sz val="8"/>
      <name val="Bierstadt"/>
      <family val="2"/>
    </font>
    <font>
      <sz val="9"/>
      <color theme="10"/>
      <name val="Bierstadt"/>
      <family val="2"/>
    </font>
    <font>
      <b/>
      <u/>
      <sz val="10"/>
      <name val="Bierstadt"/>
      <family val="2"/>
    </font>
    <font>
      <sz val="9"/>
      <color theme="1" tint="0.499984740745262"/>
      <name val="Bierstadt"/>
      <family val="2"/>
    </font>
    <font>
      <sz val="9"/>
      <name val="Arial"/>
      <family val="2"/>
    </font>
    <font>
      <b/>
      <sz val="10"/>
      <color indexed="10"/>
      <name val="Bierstadt"/>
      <family val="2"/>
    </font>
    <font>
      <sz val="10"/>
      <color indexed="56"/>
      <name val="Bierstadt"/>
      <family val="2"/>
    </font>
    <font>
      <b/>
      <sz val="10"/>
      <color indexed="18"/>
      <name val="Bierstadt"/>
      <family val="2"/>
    </font>
    <font>
      <b/>
      <sz val="10"/>
      <color theme="0" tint="-0.14999847407452621"/>
      <name val="Bierstadt"/>
      <family val="2"/>
    </font>
    <font>
      <i/>
      <sz val="9"/>
      <color rgb="FFFF0000"/>
      <name val="Bierstadt"/>
      <family val="2"/>
    </font>
    <font>
      <i/>
      <sz val="10"/>
      <color rgb="FFFF0000"/>
      <name val="Bierstadt"/>
      <family val="2"/>
    </font>
  </fonts>
  <fills count="2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3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11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7" borderId="0" applyNumberFormat="0" applyBorder="0" applyAlignment="0" applyProtection="0"/>
    <xf numFmtId="169" fontId="16" fillId="0" borderId="0"/>
    <xf numFmtId="0" fontId="2" fillId="0" borderId="0"/>
    <xf numFmtId="0" fontId="1" fillId="4" borderId="7" applyNumberFormat="0" applyFont="0" applyAlignment="0" applyProtection="0"/>
    <xf numFmtId="0" fontId="22" fillId="4" borderId="7" applyNumberFormat="0" applyFont="0" applyAlignment="0" applyProtection="0"/>
    <xf numFmtId="0" fontId="17" fillId="16" borderId="8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9" fillId="0" borderId="0" applyNumberFormat="0" applyFill="0" applyBorder="0" applyAlignment="0" applyProtection="0"/>
  </cellStyleXfs>
  <cellXfs count="462">
    <xf numFmtId="0" fontId="0" fillId="0" borderId="0" xfId="0"/>
    <xf numFmtId="0" fontId="1" fillId="0" borderId="0" xfId="0" applyFont="1"/>
    <xf numFmtId="7" fontId="23" fillId="0" borderId="0" xfId="30" applyNumberFormat="1" applyFont="1" applyFill="1" applyBorder="1" applyAlignment="1" applyProtection="1">
      <alignment horizontal="right"/>
    </xf>
    <xf numFmtId="168" fontId="24" fillId="0" borderId="0" xfId="30" applyNumberFormat="1" applyFont="1" applyBorder="1" applyAlignment="1" applyProtection="1">
      <alignment horizontal="right"/>
    </xf>
    <xf numFmtId="43" fontId="23" fillId="0" borderId="0" xfId="28" applyFont="1" applyFill="1" applyBorder="1" applyAlignment="1" applyProtection="1">
      <alignment horizontal="right"/>
    </xf>
    <xf numFmtId="166" fontId="27" fillId="0" borderId="0" xfId="28" applyNumberFormat="1" applyFont="1" applyBorder="1" applyAlignment="1" applyProtection="1">
      <alignment horizontal="center"/>
    </xf>
    <xf numFmtId="166" fontId="23" fillId="0" borderId="20" xfId="28" applyNumberFormat="1" applyFont="1" applyBorder="1" applyProtection="1"/>
    <xf numFmtId="166" fontId="27" fillId="0" borderId="0" xfId="28" applyNumberFormat="1" applyFont="1" applyBorder="1" applyAlignment="1" applyProtection="1"/>
    <xf numFmtId="166" fontId="27" fillId="0" borderId="0" xfId="28" applyNumberFormat="1" applyFont="1" applyBorder="1" applyProtection="1"/>
    <xf numFmtId="166" fontId="23" fillId="0" borderId="0" xfId="28" applyNumberFormat="1" applyFont="1" applyBorder="1" applyProtection="1"/>
    <xf numFmtId="166" fontId="23" fillId="0" borderId="20" xfId="28" applyNumberFormat="1" applyFont="1" applyFill="1" applyBorder="1" applyAlignment="1" applyProtection="1"/>
    <xf numFmtId="166" fontId="27" fillId="0" borderId="20" xfId="28" applyNumberFormat="1" applyFont="1" applyBorder="1" applyAlignment="1" applyProtection="1"/>
    <xf numFmtId="166" fontId="27" fillId="0" borderId="20" xfId="28" applyNumberFormat="1" applyFont="1" applyFill="1" applyBorder="1" applyProtection="1"/>
    <xf numFmtId="166" fontId="52" fillId="0" borderId="10" xfId="28" applyNumberFormat="1" applyFont="1" applyBorder="1" applyAlignment="1" applyProtection="1">
      <alignment horizontal="center"/>
    </xf>
    <xf numFmtId="10" fontId="23" fillId="0" borderId="0" xfId="46" applyNumberFormat="1" applyFont="1" applyProtection="1"/>
    <xf numFmtId="166" fontId="23" fillId="0" borderId="16" xfId="28" applyNumberFormat="1" applyFont="1" applyBorder="1" applyProtection="1"/>
    <xf numFmtId="0" fontId="36" fillId="24" borderId="0" xfId="0" applyFont="1" applyFill="1" applyAlignment="1" applyProtection="1">
      <alignment horizontal="center"/>
      <protection locked="0"/>
    </xf>
    <xf numFmtId="3" fontId="23" fillId="24" borderId="10" xfId="28" applyNumberFormat="1" applyFont="1" applyFill="1" applyBorder="1" applyAlignment="1" applyProtection="1">
      <alignment horizontal="center"/>
      <protection locked="0"/>
    </xf>
    <xf numFmtId="3" fontId="23" fillId="24" borderId="12" xfId="28" applyNumberFormat="1" applyFont="1" applyFill="1" applyBorder="1" applyAlignment="1" applyProtection="1">
      <alignment horizontal="center"/>
      <protection locked="0"/>
    </xf>
    <xf numFmtId="3" fontId="23" fillId="24" borderId="0" xfId="28" applyNumberFormat="1" applyFont="1" applyFill="1" applyBorder="1" applyAlignment="1" applyProtection="1">
      <alignment horizontal="center"/>
      <protection locked="0"/>
    </xf>
    <xf numFmtId="9" fontId="23" fillId="24" borderId="0" xfId="0" applyNumberFormat="1" applyFont="1" applyFill="1" applyProtection="1">
      <protection locked="0"/>
    </xf>
    <xf numFmtId="0" fontId="23" fillId="24" borderId="0" xfId="0" applyFont="1" applyFill="1" applyProtection="1">
      <protection locked="0"/>
    </xf>
    <xf numFmtId="172" fontId="23" fillId="24" borderId="0" xfId="0" applyNumberFormat="1" applyFont="1" applyFill="1" applyAlignment="1" applyProtection="1">
      <alignment horizontal="center"/>
      <protection locked="0"/>
    </xf>
    <xf numFmtId="9" fontId="52" fillId="0" borderId="0" xfId="46" applyFont="1" applyBorder="1" applyProtection="1"/>
    <xf numFmtId="38" fontId="27" fillId="24" borderId="10" xfId="0" applyNumberFormat="1" applyFont="1" applyFill="1" applyBorder="1" applyProtection="1">
      <protection locked="0"/>
    </xf>
    <xf numFmtId="0" fontId="23" fillId="24" borderId="21" xfId="0" applyFont="1" applyFill="1" applyBorder="1" applyAlignment="1" applyProtection="1">
      <alignment horizontal="center"/>
      <protection locked="0"/>
    </xf>
    <xf numFmtId="164" fontId="23" fillId="0" borderId="21" xfId="46" applyNumberFormat="1" applyFont="1" applyFill="1" applyBorder="1" applyAlignment="1" applyProtection="1">
      <alignment horizontal="right"/>
    </xf>
    <xf numFmtId="166" fontId="23" fillId="0" borderId="0" xfId="28" applyNumberFormat="1" applyFont="1" applyFill="1" applyBorder="1" applyAlignment="1" applyProtection="1"/>
    <xf numFmtId="166" fontId="23" fillId="0" borderId="0" xfId="28" applyNumberFormat="1" applyFont="1" applyFill="1" applyBorder="1" applyProtection="1"/>
    <xf numFmtId="168" fontId="24" fillId="0" borderId="0" xfId="30" applyNumberFormat="1" applyFont="1" applyFill="1" applyBorder="1" applyAlignment="1" applyProtection="1">
      <alignment horizontal="right"/>
    </xf>
    <xf numFmtId="166" fontId="27" fillId="0" borderId="0" xfId="28" applyNumberFormat="1" applyFont="1" applyFill="1" applyBorder="1" applyAlignment="1" applyProtection="1"/>
    <xf numFmtId="166" fontId="27" fillId="0" borderId="0" xfId="28" applyNumberFormat="1" applyFont="1" applyFill="1" applyBorder="1" applyProtection="1"/>
    <xf numFmtId="166" fontId="52" fillId="0" borderId="0" xfId="28" applyNumberFormat="1" applyFont="1" applyBorder="1" applyAlignment="1" applyProtection="1">
      <alignment horizontal="center"/>
    </xf>
    <xf numFmtId="173" fontId="23" fillId="24" borderId="12" xfId="0" applyNumberFormat="1" applyFont="1" applyFill="1" applyBorder="1" applyProtection="1">
      <protection locked="0"/>
    </xf>
    <xf numFmtId="0" fontId="23" fillId="24" borderId="21" xfId="0" applyFont="1" applyFill="1" applyBorder="1" applyProtection="1">
      <protection locked="0"/>
    </xf>
    <xf numFmtId="0" fontId="23" fillId="24" borderId="0" xfId="0" applyFont="1" applyFill="1" applyAlignment="1" applyProtection="1">
      <alignment horizontal="center"/>
      <protection locked="0"/>
    </xf>
    <xf numFmtId="169" fontId="32" fillId="18" borderId="0" xfId="41" applyFont="1" applyFill="1" applyAlignment="1" applyProtection="1">
      <alignment horizontal="center"/>
    </xf>
    <xf numFmtId="0" fontId="23" fillId="19" borderId="0" xfId="0" applyFont="1" applyFill="1" applyProtection="1"/>
    <xf numFmtId="0" fontId="23" fillId="0" borderId="0" xfId="0" applyFont="1" applyProtection="1"/>
    <xf numFmtId="0" fontId="27" fillId="19" borderId="0" xfId="0" applyFont="1" applyFill="1" applyProtection="1"/>
    <xf numFmtId="169" fontId="37" fillId="19" borderId="0" xfId="41" applyFont="1" applyFill="1" applyAlignment="1" applyProtection="1">
      <alignment horizontal="left"/>
    </xf>
    <xf numFmtId="0" fontId="36" fillId="19" borderId="0" xfId="0" applyFont="1" applyFill="1" applyProtection="1"/>
    <xf numFmtId="0" fontId="23" fillId="19" borderId="0" xfId="0" applyFont="1" applyFill="1" applyAlignment="1" applyProtection="1">
      <alignment horizontal="left"/>
    </xf>
    <xf numFmtId="0" fontId="23" fillId="19" borderId="0" xfId="0" applyFont="1" applyFill="1" applyAlignment="1" applyProtection="1">
      <alignment horizontal="center"/>
    </xf>
    <xf numFmtId="0" fontId="23" fillId="19" borderId="0" xfId="0" applyFont="1" applyFill="1" applyAlignment="1" applyProtection="1">
      <alignment horizontal="right"/>
    </xf>
    <xf numFmtId="0" fontId="23" fillId="19" borderId="0" xfId="0" applyFont="1" applyFill="1" applyAlignment="1" applyProtection="1">
      <alignment horizontal="left" indent="3"/>
    </xf>
    <xf numFmtId="0" fontId="23" fillId="19" borderId="0" xfId="0" applyFont="1" applyFill="1" applyAlignment="1" applyProtection="1">
      <alignment horizontal="left" indent="4"/>
    </xf>
    <xf numFmtId="167" fontId="36" fillId="19" borderId="0" xfId="0" applyNumberFormat="1" applyFont="1" applyFill="1" applyAlignment="1" applyProtection="1">
      <alignment horizontal="center"/>
    </xf>
    <xf numFmtId="167" fontId="36" fillId="19" borderId="0" xfId="0" applyNumberFormat="1" applyFont="1" applyFill="1" applyProtection="1"/>
    <xf numFmtId="0" fontId="39" fillId="0" borderId="0" xfId="0" applyFont="1" applyAlignment="1" applyProtection="1">
      <alignment horizontal="right"/>
    </xf>
    <xf numFmtId="0" fontId="40" fillId="19" borderId="0" xfId="0" applyFont="1" applyFill="1" applyAlignment="1" applyProtection="1">
      <alignment horizontal="center"/>
    </xf>
    <xf numFmtId="0" fontId="41" fillId="19" borderId="0" xfId="0" applyFont="1" applyFill="1" applyAlignment="1" applyProtection="1">
      <alignment horizontal="center"/>
    </xf>
    <xf numFmtId="9" fontId="40" fillId="0" borderId="0" xfId="0" applyNumberFormat="1" applyFont="1" applyAlignment="1" applyProtection="1">
      <alignment horizontal="right"/>
    </xf>
    <xf numFmtId="0" fontId="40" fillId="19" borderId="20" xfId="0" applyFont="1" applyFill="1" applyBorder="1" applyAlignment="1" applyProtection="1">
      <alignment horizontal="center"/>
    </xf>
    <xf numFmtId="0" fontId="42" fillId="19" borderId="20" xfId="0" applyFont="1" applyFill="1" applyBorder="1" applyAlignment="1" applyProtection="1">
      <alignment horizontal="center"/>
    </xf>
    <xf numFmtId="0" fontId="40" fillId="19" borderId="0" xfId="0" applyFont="1" applyFill="1" applyAlignment="1" applyProtection="1">
      <alignment horizontal="right"/>
    </xf>
    <xf numFmtId="0" fontId="41" fillId="19" borderId="0" xfId="0" applyFont="1" applyFill="1" applyAlignment="1" applyProtection="1">
      <alignment horizontal="right" indent="2"/>
    </xf>
    <xf numFmtId="0" fontId="43" fillId="19" borderId="20" xfId="0" applyFont="1" applyFill="1" applyBorder="1" applyAlignment="1" applyProtection="1">
      <alignment horizontal="center"/>
    </xf>
    <xf numFmtId="0" fontId="27" fillId="19" borderId="10" xfId="0" applyFont="1" applyFill="1" applyBorder="1" applyProtection="1"/>
    <xf numFmtId="0" fontId="34" fillId="19" borderId="10" xfId="0" applyFont="1" applyFill="1" applyBorder="1" applyAlignment="1" applyProtection="1">
      <alignment horizontal="right"/>
    </xf>
    <xf numFmtId="0" fontId="23" fillId="19" borderId="12" xfId="0" applyFont="1" applyFill="1" applyBorder="1" applyProtection="1"/>
    <xf numFmtId="38" fontId="23" fillId="19" borderId="12" xfId="0" applyNumberFormat="1" applyFont="1" applyFill="1" applyBorder="1" applyAlignment="1" applyProtection="1">
      <alignment horizontal="right"/>
    </xf>
    <xf numFmtId="38" fontId="23" fillId="19" borderId="0" xfId="0" applyNumberFormat="1" applyFont="1" applyFill="1" applyAlignment="1" applyProtection="1">
      <alignment horizontal="right"/>
    </xf>
    <xf numFmtId="3" fontId="23" fillId="19" borderId="0" xfId="0" applyNumberFormat="1" applyFont="1" applyFill="1" applyAlignment="1" applyProtection="1">
      <alignment horizontal="right"/>
    </xf>
    <xf numFmtId="0" fontId="23" fillId="19" borderId="10" xfId="0" applyFont="1" applyFill="1" applyBorder="1" applyProtection="1"/>
    <xf numFmtId="2" fontId="23" fillId="19" borderId="10" xfId="0" applyNumberFormat="1" applyFont="1" applyFill="1" applyBorder="1" applyAlignment="1" applyProtection="1">
      <alignment horizontal="right"/>
    </xf>
    <xf numFmtId="0" fontId="23" fillId="19" borderId="10" xfId="0" applyFont="1" applyFill="1" applyBorder="1" applyAlignment="1" applyProtection="1">
      <alignment horizontal="right"/>
    </xf>
    <xf numFmtId="0" fontId="34" fillId="19" borderId="0" xfId="0" applyFont="1" applyFill="1" applyAlignment="1" applyProtection="1">
      <alignment horizontal="right"/>
    </xf>
    <xf numFmtId="167" fontId="34" fillId="19" borderId="0" xfId="0" applyNumberFormat="1" applyFont="1" applyFill="1" applyAlignment="1" applyProtection="1">
      <alignment horizontal="right"/>
    </xf>
    <xf numFmtId="6" fontId="23" fillId="19" borderId="12" xfId="0" applyNumberFormat="1" applyFont="1" applyFill="1" applyBorder="1" applyProtection="1"/>
    <xf numFmtId="164" fontId="23" fillId="19" borderId="12" xfId="46" applyNumberFormat="1" applyFont="1" applyFill="1" applyBorder="1" applyAlignment="1" applyProtection="1">
      <alignment horizontal="right"/>
    </xf>
    <xf numFmtId="170" fontId="24" fillId="19" borderId="12" xfId="0" applyNumberFormat="1" applyFont="1" applyFill="1" applyBorder="1" applyAlignment="1" applyProtection="1">
      <alignment horizontal="center"/>
    </xf>
    <xf numFmtId="164" fontId="23" fillId="19" borderId="0" xfId="46" applyNumberFormat="1" applyFont="1" applyFill="1" applyBorder="1" applyAlignment="1" applyProtection="1">
      <alignment horizontal="right"/>
    </xf>
    <xf numFmtId="170" fontId="24" fillId="19" borderId="0" xfId="0" applyNumberFormat="1" applyFont="1" applyFill="1" applyAlignment="1" applyProtection="1">
      <alignment horizontal="center"/>
    </xf>
    <xf numFmtId="6" fontId="23" fillId="19" borderId="0" xfId="0" applyNumberFormat="1" applyFont="1" applyFill="1" applyAlignment="1" applyProtection="1">
      <alignment horizontal="right"/>
    </xf>
    <xf numFmtId="40" fontId="23" fillId="19" borderId="0" xfId="0" applyNumberFormat="1" applyFont="1" applyFill="1" applyAlignment="1" applyProtection="1">
      <alignment horizontal="right"/>
    </xf>
    <xf numFmtId="49" fontId="23" fillId="0" borderId="0" xfId="0" applyNumberFormat="1" applyFont="1" applyProtection="1"/>
    <xf numFmtId="6" fontId="23" fillId="0" borderId="0" xfId="0" applyNumberFormat="1" applyFont="1" applyProtection="1"/>
    <xf numFmtId="38" fontId="23" fillId="0" borderId="0" xfId="0" applyNumberFormat="1" applyFont="1" applyAlignment="1" applyProtection="1">
      <alignment horizontal="right"/>
    </xf>
    <xf numFmtId="164" fontId="23" fillId="0" borderId="0" xfId="46" applyNumberFormat="1" applyFont="1" applyFill="1" applyBorder="1" applyAlignment="1" applyProtection="1">
      <alignment horizontal="right"/>
    </xf>
    <xf numFmtId="40" fontId="23" fillId="0" borderId="0" xfId="0" applyNumberFormat="1" applyFont="1" applyAlignment="1" applyProtection="1">
      <alignment horizontal="right"/>
    </xf>
    <xf numFmtId="49" fontId="23" fillId="19" borderId="0" xfId="0" applyNumberFormat="1" applyFont="1" applyFill="1" applyProtection="1"/>
    <xf numFmtId="49" fontId="23" fillId="19" borderId="10" xfId="0" applyNumberFormat="1" applyFont="1" applyFill="1" applyBorder="1" applyProtection="1"/>
    <xf numFmtId="6" fontId="23" fillId="19" borderId="10" xfId="0" applyNumberFormat="1" applyFont="1" applyFill="1" applyBorder="1" applyProtection="1"/>
    <xf numFmtId="38" fontId="23" fillId="19" borderId="10" xfId="0" applyNumberFormat="1" applyFont="1" applyFill="1" applyBorder="1" applyAlignment="1" applyProtection="1">
      <alignment horizontal="right"/>
    </xf>
    <xf numFmtId="164" fontId="23" fillId="19" borderId="10" xfId="46" applyNumberFormat="1" applyFont="1" applyFill="1" applyBorder="1" applyAlignment="1" applyProtection="1">
      <alignment horizontal="right"/>
    </xf>
    <xf numFmtId="6" fontId="27" fillId="19" borderId="0" xfId="0" applyNumberFormat="1" applyFont="1" applyFill="1" applyProtection="1"/>
    <xf numFmtId="167" fontId="34" fillId="19" borderId="0" xfId="0" applyNumberFormat="1" applyFont="1" applyFill="1" applyAlignment="1" applyProtection="1">
      <alignment horizontal="center"/>
    </xf>
    <xf numFmtId="38" fontId="23" fillId="0" borderId="12" xfId="0" applyNumberFormat="1" applyFont="1" applyBorder="1" applyAlignment="1" applyProtection="1">
      <alignment horizontal="right"/>
    </xf>
    <xf numFmtId="0" fontId="45" fillId="19" borderId="0" xfId="0" applyFont="1" applyFill="1" applyAlignment="1" applyProtection="1">
      <alignment horizontal="center"/>
    </xf>
    <xf numFmtId="6" fontId="23" fillId="19" borderId="0" xfId="0" applyNumberFormat="1" applyFont="1" applyFill="1" applyProtection="1"/>
    <xf numFmtId="6" fontId="47" fillId="19" borderId="0" xfId="0" applyNumberFormat="1" applyFont="1" applyFill="1" applyAlignment="1" applyProtection="1">
      <alignment horizontal="center"/>
    </xf>
    <xf numFmtId="6" fontId="27" fillId="19" borderId="0" xfId="0" applyNumberFormat="1" applyFont="1" applyFill="1" applyAlignment="1" applyProtection="1">
      <alignment horizontal="left"/>
    </xf>
    <xf numFmtId="38" fontId="27" fillId="19" borderId="0" xfId="0" applyNumberFormat="1" applyFont="1" applyFill="1" applyAlignment="1" applyProtection="1">
      <alignment horizontal="right"/>
    </xf>
    <xf numFmtId="164" fontId="27" fillId="19" borderId="0" xfId="46" applyNumberFormat="1" applyFont="1" applyFill="1" applyBorder="1" applyAlignment="1" applyProtection="1">
      <alignment horizontal="right"/>
    </xf>
    <xf numFmtId="10" fontId="23" fillId="19" borderId="0" xfId="0" applyNumberFormat="1" applyFont="1" applyFill="1" applyProtection="1"/>
    <xf numFmtId="10" fontId="23" fillId="19" borderId="0" xfId="46" applyNumberFormat="1" applyFont="1" applyFill="1" applyBorder="1" applyProtection="1"/>
    <xf numFmtId="9" fontId="23" fillId="19" borderId="0" xfId="0" applyNumberFormat="1" applyFont="1" applyFill="1" applyProtection="1"/>
    <xf numFmtId="6" fontId="46" fillId="19" borderId="21" xfId="0" applyNumberFormat="1" applyFont="1" applyFill="1" applyBorder="1" applyAlignment="1" applyProtection="1">
      <alignment vertical="center"/>
    </xf>
    <xf numFmtId="0" fontId="66" fillId="19" borderId="21" xfId="0" applyFont="1" applyFill="1" applyBorder="1" applyAlignment="1" applyProtection="1">
      <alignment vertical="center"/>
    </xf>
    <xf numFmtId="38" fontId="67" fillId="19" borderId="21" xfId="0" applyNumberFormat="1" applyFont="1" applyFill="1" applyBorder="1" applyAlignment="1" applyProtection="1">
      <alignment horizontal="center" vertical="center"/>
    </xf>
    <xf numFmtId="164" fontId="39" fillId="19" borderId="21" xfId="46" applyNumberFormat="1" applyFont="1" applyFill="1" applyBorder="1" applyAlignment="1" applyProtection="1">
      <alignment horizontal="right" vertical="center"/>
    </xf>
    <xf numFmtId="0" fontId="66" fillId="19" borderId="0" xfId="0" applyFont="1" applyFill="1" applyAlignment="1" applyProtection="1">
      <alignment horizontal="center" vertical="center"/>
    </xf>
    <xf numFmtId="0" fontId="23" fillId="0" borderId="0" xfId="0" applyFont="1" applyProtection="1">
      <protection locked="0"/>
    </xf>
    <xf numFmtId="38" fontId="23" fillId="24" borderId="0" xfId="0" applyNumberFormat="1" applyFont="1" applyFill="1" applyAlignment="1" applyProtection="1">
      <alignment horizontal="right"/>
      <protection locked="0"/>
    </xf>
    <xf numFmtId="38" fontId="23" fillId="24" borderId="10" xfId="0" applyNumberFormat="1" applyFont="1" applyFill="1" applyBorder="1" applyAlignment="1" applyProtection="1">
      <alignment horizontal="right"/>
      <protection locked="0"/>
    </xf>
    <xf numFmtId="49" fontId="36" fillId="24" borderId="21" xfId="0" applyNumberFormat="1" applyFont="1" applyFill="1" applyBorder="1" applyAlignment="1" applyProtection="1">
      <alignment horizontal="center" wrapText="1"/>
      <protection locked="0"/>
    </xf>
    <xf numFmtId="0" fontId="37" fillId="19" borderId="0" xfId="0" applyFont="1" applyFill="1" applyProtection="1"/>
    <xf numFmtId="169" fontId="32" fillId="18" borderId="0" xfId="41" applyFont="1" applyFill="1" applyAlignment="1" applyProtection="1">
      <alignment horizontal="center"/>
    </xf>
    <xf numFmtId="0" fontId="23" fillId="0" borderId="0" xfId="0" applyFont="1" applyProtection="1"/>
    <xf numFmtId="6" fontId="23" fillId="19" borderId="12" xfId="0" applyNumberFormat="1" applyFont="1" applyFill="1" applyBorder="1" applyAlignment="1" applyProtection="1">
      <alignment horizontal="left"/>
    </xf>
    <xf numFmtId="6" fontId="23" fillId="24" borderId="0" xfId="0" applyNumberFormat="1" applyFont="1" applyFill="1" applyAlignment="1" applyProtection="1">
      <alignment horizontal="left"/>
      <protection locked="0"/>
    </xf>
    <xf numFmtId="6" fontId="23" fillId="19" borderId="0" xfId="0" applyNumberFormat="1" applyFont="1" applyFill="1" applyProtection="1"/>
    <xf numFmtId="0" fontId="36" fillId="24" borderId="10" xfId="0" applyFont="1" applyFill="1" applyBorder="1" applyProtection="1">
      <protection locked="0"/>
    </xf>
    <xf numFmtId="0" fontId="59" fillId="24" borderId="10" xfId="51" applyFill="1" applyBorder="1" applyAlignment="1" applyProtection="1">
      <protection locked="0"/>
    </xf>
    <xf numFmtId="0" fontId="23" fillId="24" borderId="21" xfId="0" applyFont="1" applyFill="1" applyBorder="1" applyProtection="1">
      <protection locked="0"/>
    </xf>
    <xf numFmtId="0" fontId="36" fillId="24" borderId="10" xfId="0" applyFont="1" applyFill="1" applyBorder="1" applyAlignment="1" applyProtection="1">
      <alignment wrapText="1"/>
      <protection locked="0"/>
    </xf>
    <xf numFmtId="49" fontId="36" fillId="24" borderId="10" xfId="0" applyNumberFormat="1" applyFont="1" applyFill="1" applyBorder="1" applyAlignment="1" applyProtection="1">
      <alignment horizontal="center" wrapText="1"/>
      <protection locked="0"/>
    </xf>
    <xf numFmtId="0" fontId="36" fillId="24" borderId="21" xfId="0" applyFont="1" applyFill="1" applyBorder="1" applyAlignment="1" applyProtection="1">
      <alignment horizontal="center" wrapText="1"/>
      <protection locked="0"/>
    </xf>
    <xf numFmtId="0" fontId="23" fillId="24" borderId="10" xfId="0" applyFont="1" applyFill="1" applyBorder="1" applyAlignment="1" applyProtection="1">
      <alignment vertical="top"/>
      <protection locked="0"/>
    </xf>
    <xf numFmtId="6" fontId="37" fillId="19" borderId="10" xfId="0" applyNumberFormat="1" applyFont="1" applyFill="1" applyBorder="1" applyProtection="1"/>
    <xf numFmtId="6" fontId="23" fillId="0" borderId="10" xfId="0" applyNumberFormat="1" applyFont="1" applyBorder="1" applyAlignment="1" applyProtection="1">
      <alignment horizontal="left"/>
    </xf>
    <xf numFmtId="0" fontId="23" fillId="24" borderId="10" xfId="0" applyFont="1" applyFill="1" applyBorder="1" applyAlignment="1" applyProtection="1">
      <alignment horizontal="center"/>
      <protection locked="0"/>
    </xf>
    <xf numFmtId="0" fontId="23" fillId="24" borderId="0" xfId="0" applyFont="1" applyFill="1" applyAlignment="1" applyProtection="1">
      <alignment horizontal="center"/>
      <protection locked="0"/>
    </xf>
    <xf numFmtId="0" fontId="36" fillId="19" borderId="0" xfId="0" applyFont="1" applyFill="1" applyAlignment="1" applyProtection="1">
      <alignment horizontal="right"/>
    </xf>
    <xf numFmtId="8" fontId="38" fillId="19" borderId="0" xfId="0" applyNumberFormat="1" applyFont="1" applyFill="1" applyProtection="1"/>
    <xf numFmtId="0" fontId="40" fillId="19" borderId="0" xfId="0" applyFont="1" applyFill="1" applyProtection="1"/>
    <xf numFmtId="0" fontId="41" fillId="19" borderId="0" xfId="0" applyFont="1" applyFill="1" applyProtection="1"/>
    <xf numFmtId="6" fontId="44" fillId="19" borderId="0" xfId="0" applyNumberFormat="1" applyFont="1" applyFill="1" applyProtection="1"/>
    <xf numFmtId="6" fontId="44" fillId="0" borderId="0" xfId="0" applyNumberFormat="1" applyFont="1" applyProtection="1"/>
    <xf numFmtId="0" fontId="45" fillId="19" borderId="0" xfId="0" applyFont="1" applyFill="1" applyAlignment="1" applyProtection="1">
      <alignment horizontal="center" vertical="center" wrapText="1"/>
    </xf>
    <xf numFmtId="0" fontId="46" fillId="19" borderId="0" xfId="0" applyFont="1" applyFill="1" applyProtection="1"/>
    <xf numFmtId="0" fontId="46" fillId="0" borderId="0" xfId="0" applyFont="1" applyProtection="1"/>
    <xf numFmtId="167" fontId="45" fillId="19" borderId="0" xfId="0" applyNumberFormat="1" applyFont="1" applyFill="1" applyAlignment="1" applyProtection="1">
      <alignment horizontal="center"/>
    </xf>
    <xf numFmtId="9" fontId="45" fillId="19" borderId="0" xfId="46" applyFont="1" applyFill="1" applyBorder="1" applyAlignment="1" applyProtection="1">
      <alignment horizontal="left"/>
    </xf>
    <xf numFmtId="0" fontId="66" fillId="19" borderId="0" xfId="0" applyFont="1" applyFill="1" applyAlignment="1" applyProtection="1">
      <alignment vertical="center"/>
    </xf>
    <xf numFmtId="0" fontId="27" fillId="0" borderId="0" xfId="0" applyFont="1" applyProtection="1"/>
    <xf numFmtId="3" fontId="23" fillId="24" borderId="12" xfId="0" applyNumberFormat="1" applyFont="1" applyFill="1" applyBorder="1" applyProtection="1">
      <protection locked="0"/>
    </xf>
    <xf numFmtId="3" fontId="23" fillId="24" borderId="19" xfId="0" applyNumberFormat="1" applyFont="1" applyFill="1" applyBorder="1" applyAlignment="1" applyProtection="1">
      <alignment horizontal="center"/>
      <protection locked="0"/>
    </xf>
    <xf numFmtId="3" fontId="23" fillId="24" borderId="0" xfId="0" applyNumberFormat="1" applyFont="1" applyFill="1" applyProtection="1">
      <protection locked="0"/>
    </xf>
    <xf numFmtId="3" fontId="23" fillId="24" borderId="13" xfId="0" applyNumberFormat="1" applyFont="1" applyFill="1" applyBorder="1" applyAlignment="1" applyProtection="1">
      <alignment horizontal="center"/>
      <protection locked="0"/>
    </xf>
    <xf numFmtId="3" fontId="23" fillId="24" borderId="10" xfId="0" applyNumberFormat="1" applyFont="1" applyFill="1" applyBorder="1" applyProtection="1">
      <protection locked="0"/>
    </xf>
    <xf numFmtId="3" fontId="23" fillId="24" borderId="15" xfId="0" applyNumberFormat="1" applyFont="1" applyFill="1" applyBorder="1" applyAlignment="1" applyProtection="1">
      <alignment horizontal="center"/>
      <protection locked="0"/>
    </xf>
    <xf numFmtId="0" fontId="26" fillId="24" borderId="0" xfId="0" applyFont="1" applyFill="1" applyProtection="1">
      <protection locked="0"/>
    </xf>
    <xf numFmtId="0" fontId="61" fillId="0" borderId="0" xfId="51" applyFont="1" applyProtection="1">
      <protection locked="0"/>
    </xf>
    <xf numFmtId="3" fontId="26" fillId="24" borderId="22" xfId="0" applyNumberFormat="1" applyFont="1" applyFill="1" applyBorder="1" applyAlignment="1" applyProtection="1">
      <alignment horizontal="center"/>
      <protection locked="0"/>
    </xf>
    <xf numFmtId="3" fontId="26" fillId="24" borderId="12" xfId="0" applyNumberFormat="1" applyFont="1" applyFill="1" applyBorder="1" applyAlignment="1" applyProtection="1">
      <alignment horizontal="center"/>
      <protection locked="0"/>
    </xf>
    <xf numFmtId="3" fontId="26" fillId="24" borderId="19" xfId="0" applyNumberFormat="1" applyFont="1" applyFill="1" applyBorder="1" applyAlignment="1" applyProtection="1">
      <alignment horizontal="center"/>
      <protection locked="0"/>
    </xf>
    <xf numFmtId="3" fontId="26" fillId="24" borderId="14" xfId="0" applyNumberFormat="1" applyFont="1" applyFill="1" applyBorder="1" applyAlignment="1" applyProtection="1">
      <alignment horizontal="center"/>
      <protection locked="0"/>
    </xf>
    <xf numFmtId="3" fontId="26" fillId="24" borderId="0" xfId="0" applyNumberFormat="1" applyFont="1" applyFill="1" applyAlignment="1" applyProtection="1">
      <alignment horizontal="center"/>
      <protection locked="0"/>
    </xf>
    <xf numFmtId="3" fontId="26" fillId="24" borderId="13" xfId="0" applyNumberFormat="1" applyFont="1" applyFill="1" applyBorder="1" applyAlignment="1" applyProtection="1">
      <alignment horizontal="center"/>
      <protection locked="0"/>
    </xf>
    <xf numFmtId="3" fontId="23" fillId="24" borderId="17" xfId="0" applyNumberFormat="1" applyFont="1" applyFill="1" applyBorder="1" applyAlignment="1" applyProtection="1">
      <alignment horizontal="center"/>
      <protection locked="0"/>
    </xf>
    <xf numFmtId="3" fontId="23" fillId="24" borderId="18" xfId="0" applyNumberFormat="1" applyFont="1" applyFill="1" applyBorder="1" applyAlignment="1" applyProtection="1">
      <alignment horizontal="center"/>
      <protection locked="0"/>
    </xf>
    <xf numFmtId="3" fontId="23" fillId="24" borderId="16" xfId="0" applyNumberFormat="1" applyFont="1" applyFill="1" applyBorder="1" applyAlignment="1" applyProtection="1">
      <alignment horizontal="center"/>
      <protection locked="0"/>
    </xf>
    <xf numFmtId="0" fontId="68" fillId="0" borderId="0" xfId="0" applyFont="1" applyAlignment="1" applyProtection="1">
      <alignment horizontal="center"/>
    </xf>
    <xf numFmtId="0" fontId="26" fillId="0" borderId="0" xfId="0" applyFont="1" applyProtection="1"/>
    <xf numFmtId="0" fontId="34" fillId="0" borderId="0" xfId="0" applyFont="1" applyProtection="1"/>
    <xf numFmtId="0" fontId="23" fillId="21" borderId="0" xfId="0" applyFont="1" applyFill="1" applyProtection="1"/>
    <xf numFmtId="0" fontId="48" fillId="21" borderId="0" xfId="0" applyFont="1" applyFill="1" applyProtection="1"/>
    <xf numFmtId="0" fontId="27" fillId="0" borderId="0" xfId="0" applyFont="1" applyAlignment="1" applyProtection="1">
      <alignment horizontal="left"/>
    </xf>
    <xf numFmtId="0" fontId="26" fillId="23" borderId="0" xfId="0" applyFont="1" applyFill="1" applyProtection="1"/>
    <xf numFmtId="0" fontId="26" fillId="0" borderId="13" xfId="0" applyFont="1" applyBorder="1" applyAlignment="1" applyProtection="1">
      <alignment horizontal="right"/>
    </xf>
    <xf numFmtId="3" fontId="26" fillId="0" borderId="22" xfId="0" applyNumberFormat="1" applyFont="1" applyBorder="1" applyAlignment="1" applyProtection="1">
      <alignment horizontal="center"/>
    </xf>
    <xf numFmtId="3" fontId="26" fillId="0" borderId="17" xfId="0" applyNumberFormat="1" applyFont="1" applyBorder="1" applyAlignment="1" applyProtection="1">
      <alignment horizontal="center"/>
    </xf>
    <xf numFmtId="3" fontId="26" fillId="23" borderId="19" xfId="0" applyNumberFormat="1" applyFont="1" applyFill="1" applyBorder="1" applyProtection="1"/>
    <xf numFmtId="3" fontId="26" fillId="0" borderId="14" xfId="0" applyNumberFormat="1" applyFont="1" applyBorder="1" applyAlignment="1" applyProtection="1">
      <alignment horizontal="center"/>
    </xf>
    <xf numFmtId="3" fontId="26" fillId="0" borderId="18" xfId="0" applyNumberFormat="1" applyFont="1" applyBorder="1" applyAlignment="1" applyProtection="1">
      <alignment horizontal="center"/>
    </xf>
    <xf numFmtId="3" fontId="26" fillId="23" borderId="13" xfId="0" applyNumberFormat="1" applyFont="1" applyFill="1" applyBorder="1" applyProtection="1"/>
    <xf numFmtId="3" fontId="26" fillId="0" borderId="11" xfId="0" applyNumberFormat="1" applyFont="1" applyBorder="1" applyAlignment="1" applyProtection="1">
      <alignment horizontal="center"/>
    </xf>
    <xf numFmtId="3" fontId="26" fillId="0" borderId="16" xfId="0" applyNumberFormat="1" applyFont="1" applyBorder="1" applyAlignment="1" applyProtection="1">
      <alignment horizontal="center"/>
    </xf>
    <xf numFmtId="3" fontId="26" fillId="23" borderId="15" xfId="0" applyNumberFormat="1" applyFont="1" applyFill="1" applyBorder="1" applyProtection="1"/>
    <xf numFmtId="0" fontId="48" fillId="19" borderId="0" xfId="0" applyFont="1" applyFill="1" applyProtection="1"/>
    <xf numFmtId="0" fontId="23" fillId="0" borderId="0" xfId="0" applyFont="1" applyAlignment="1" applyProtection="1">
      <alignment horizontal="center"/>
    </xf>
    <xf numFmtId="0" fontId="48" fillId="0" borderId="0" xfId="0" applyFont="1" applyProtection="1"/>
    <xf numFmtId="0" fontId="34" fillId="0" borderId="0" xfId="0" applyFont="1" applyAlignment="1" applyProtection="1">
      <alignment horizontal="right"/>
    </xf>
    <xf numFmtId="0" fontId="56" fillId="0" borderId="0" xfId="0" applyFont="1" applyAlignment="1" applyProtection="1">
      <alignment horizontal="right"/>
    </xf>
    <xf numFmtId="0" fontId="56" fillId="0" borderId="13" xfId="0" applyFont="1" applyBorder="1" applyAlignment="1" applyProtection="1">
      <alignment horizontal="right"/>
    </xf>
    <xf numFmtId="3" fontId="26" fillId="0" borderId="10" xfId="0" applyNumberFormat="1" applyFont="1" applyBorder="1" applyAlignment="1" applyProtection="1">
      <alignment horizontal="center"/>
    </xf>
    <xf numFmtId="3" fontId="26" fillId="0" borderId="15" xfId="0" applyNumberFormat="1" applyFont="1" applyBorder="1" applyAlignment="1" applyProtection="1">
      <alignment horizontal="center"/>
    </xf>
    <xf numFmtId="3" fontId="26" fillId="23" borderId="11" xfId="0" applyNumberFormat="1" applyFont="1" applyFill="1" applyBorder="1" applyAlignment="1" applyProtection="1">
      <alignment horizontal="center"/>
    </xf>
    <xf numFmtId="3" fontId="26" fillId="23" borderId="15" xfId="0" applyNumberFormat="1" applyFont="1" applyFill="1" applyBorder="1" applyAlignment="1" applyProtection="1">
      <alignment horizontal="center"/>
    </xf>
    <xf numFmtId="3" fontId="26" fillId="0" borderId="0" xfId="0" applyNumberFormat="1" applyFont="1" applyProtection="1"/>
    <xf numFmtId="0" fontId="26" fillId="0" borderId="0" xfId="0" applyFont="1" applyAlignment="1" applyProtection="1">
      <alignment horizontal="right"/>
    </xf>
    <xf numFmtId="6" fontId="60" fillId="0" borderId="0" xfId="0" applyNumberFormat="1" applyFont="1" applyAlignment="1" applyProtection="1">
      <alignment horizontal="center"/>
    </xf>
    <xf numFmtId="6" fontId="52" fillId="0" borderId="0" xfId="0" applyNumberFormat="1" applyFont="1" applyAlignment="1" applyProtection="1">
      <alignment horizontal="center"/>
    </xf>
    <xf numFmtId="6" fontId="24" fillId="0" borderId="0" xfId="0" applyNumberFormat="1" applyFont="1" applyProtection="1"/>
    <xf numFmtId="0" fontId="29" fillId="0" borderId="0" xfId="0" applyFont="1" applyAlignment="1" applyProtection="1">
      <alignment horizontal="right"/>
    </xf>
    <xf numFmtId="0" fontId="29" fillId="0" borderId="0" xfId="0" applyFont="1" applyAlignment="1" applyProtection="1">
      <alignment horizontal="center"/>
    </xf>
    <xf numFmtId="0" fontId="62" fillId="0" borderId="0" xfId="0" applyFont="1" applyProtection="1"/>
    <xf numFmtId="3" fontId="26" fillId="23" borderId="14" xfId="0" applyNumberFormat="1" applyFont="1" applyFill="1" applyBorder="1" applyAlignment="1" applyProtection="1">
      <alignment horizontal="center"/>
    </xf>
    <xf numFmtId="3" fontId="26" fillId="23" borderId="13" xfId="0" applyNumberFormat="1" applyFont="1" applyFill="1" applyBorder="1" applyAlignment="1" applyProtection="1">
      <alignment horizontal="center"/>
    </xf>
    <xf numFmtId="3" fontId="26" fillId="0" borderId="0" xfId="0" applyNumberFormat="1" applyFont="1" applyAlignment="1" applyProtection="1">
      <alignment horizontal="center"/>
    </xf>
    <xf numFmtId="3" fontId="26" fillId="0" borderId="13" xfId="0" applyNumberFormat="1" applyFont="1" applyBorder="1" applyAlignment="1" applyProtection="1">
      <alignment horizontal="center"/>
    </xf>
    <xf numFmtId="3" fontId="26" fillId="23" borderId="22" xfId="0" applyNumberFormat="1" applyFont="1" applyFill="1" applyBorder="1" applyAlignment="1" applyProtection="1">
      <alignment horizontal="center"/>
    </xf>
    <xf numFmtId="3" fontId="26" fillId="23" borderId="19" xfId="0" applyNumberFormat="1" applyFont="1" applyFill="1" applyBorder="1" applyAlignment="1" applyProtection="1">
      <alignment horizontal="center"/>
    </xf>
    <xf numFmtId="0" fontId="61" fillId="0" borderId="0" xfId="51" applyFont="1" applyProtection="1"/>
    <xf numFmtId="0" fontId="56" fillId="0" borderId="0" xfId="0" applyFont="1" applyProtection="1"/>
    <xf numFmtId="0" fontId="34" fillId="0" borderId="10" xfId="0" applyFont="1" applyBorder="1" applyAlignment="1" applyProtection="1">
      <alignment horizontal="center"/>
    </xf>
    <xf numFmtId="0" fontId="34" fillId="23" borderId="10" xfId="0" applyFont="1" applyFill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3" fontId="23" fillId="19" borderId="23" xfId="0" applyNumberFormat="1" applyFont="1" applyFill="1" applyBorder="1" applyProtection="1"/>
    <xf numFmtId="3" fontId="23" fillId="19" borderId="24" xfId="0" applyNumberFormat="1" applyFont="1" applyFill="1" applyBorder="1" applyProtection="1"/>
    <xf numFmtId="3" fontId="23" fillId="19" borderId="23" xfId="0" applyNumberFormat="1" applyFont="1" applyFill="1" applyBorder="1" applyAlignment="1" applyProtection="1">
      <alignment horizontal="right"/>
    </xf>
    <xf numFmtId="3" fontId="23" fillId="0" borderId="13" xfId="0" applyNumberFormat="1" applyFont="1" applyBorder="1" applyProtection="1"/>
    <xf numFmtId="0" fontId="23" fillId="0" borderId="14" xfId="0" applyFont="1" applyBorder="1" applyAlignment="1" applyProtection="1">
      <alignment horizontal="right"/>
    </xf>
    <xf numFmtId="3" fontId="23" fillId="0" borderId="15" xfId="0" applyNumberFormat="1" applyFont="1" applyBorder="1" applyProtection="1"/>
    <xf numFmtId="0" fontId="23" fillId="0" borderId="11" xfId="0" applyFont="1" applyBorder="1" applyAlignment="1" applyProtection="1">
      <alignment horizontal="right"/>
    </xf>
    <xf numFmtId="0" fontId="23" fillId="0" borderId="14" xfId="0" applyFont="1" applyBorder="1" applyProtection="1"/>
    <xf numFmtId="0" fontId="23" fillId="0" borderId="11" xfId="0" applyFont="1" applyBorder="1" applyProtection="1"/>
    <xf numFmtId="3" fontId="23" fillId="0" borderId="19" xfId="0" applyNumberFormat="1" applyFont="1" applyBorder="1" applyProtection="1"/>
    <xf numFmtId="0" fontId="23" fillId="0" borderId="22" xfId="0" applyFont="1" applyBorder="1" applyAlignment="1" applyProtection="1">
      <alignment horizontal="right"/>
    </xf>
    <xf numFmtId="0" fontId="23" fillId="0" borderId="22" xfId="0" applyFont="1" applyBorder="1" applyProtection="1"/>
    <xf numFmtId="0" fontId="23" fillId="0" borderId="12" xfId="0" applyFont="1" applyBorder="1" applyAlignment="1" applyProtection="1">
      <alignment horizontal="center"/>
    </xf>
    <xf numFmtId="0" fontId="23" fillId="0" borderId="12" xfId="0" applyFont="1" applyBorder="1" applyProtection="1"/>
    <xf numFmtId="9" fontId="23" fillId="0" borderId="0" xfId="0" applyNumberFormat="1" applyFont="1" applyAlignment="1" applyProtection="1">
      <alignment horizontal="center"/>
    </xf>
    <xf numFmtId="6" fontId="23" fillId="0" borderId="0" xfId="0" applyNumberFormat="1" applyFont="1" applyAlignment="1" applyProtection="1">
      <alignment horizontal="center"/>
    </xf>
    <xf numFmtId="37" fontId="23" fillId="0" borderId="0" xfId="28" applyNumberFormat="1" applyFont="1" applyBorder="1" applyProtection="1"/>
    <xf numFmtId="3" fontId="23" fillId="19" borderId="0" xfId="0" applyNumberFormat="1" applyFont="1" applyFill="1" applyProtection="1"/>
    <xf numFmtId="3" fontId="34" fillId="0" borderId="0" xfId="0" applyNumberFormat="1" applyFont="1" applyProtection="1"/>
    <xf numFmtId="0" fontId="27" fillId="19" borderId="22" xfId="0" applyFont="1" applyFill="1" applyBorder="1" applyProtection="1"/>
    <xf numFmtId="0" fontId="27" fillId="19" borderId="12" xfId="0" applyFont="1" applyFill="1" applyBorder="1" applyAlignment="1" applyProtection="1">
      <alignment horizontal="center"/>
    </xf>
    <xf numFmtId="0" fontId="23" fillId="19" borderId="12" xfId="0" applyFont="1" applyFill="1" applyBorder="1" applyAlignment="1" applyProtection="1">
      <alignment horizontal="center"/>
    </xf>
    <xf numFmtId="0" fontId="23" fillId="19" borderId="12" xfId="0" applyFont="1" applyFill="1" applyBorder="1" applyAlignment="1" applyProtection="1">
      <alignment horizontal="center" wrapText="1"/>
    </xf>
    <xf numFmtId="0" fontId="34" fillId="0" borderId="12" xfId="0" applyFont="1" applyBorder="1" applyProtection="1"/>
    <xf numFmtId="0" fontId="23" fillId="19" borderId="19" xfId="0" applyFont="1" applyFill="1" applyBorder="1" applyAlignment="1" applyProtection="1">
      <alignment horizontal="center" wrapText="1"/>
    </xf>
    <xf numFmtId="0" fontId="27" fillId="19" borderId="14" xfId="0" applyFont="1" applyFill="1" applyBorder="1" applyProtection="1"/>
    <xf numFmtId="0" fontId="27" fillId="19" borderId="0" xfId="0" applyFont="1" applyFill="1" applyAlignment="1" applyProtection="1">
      <alignment horizontal="right"/>
    </xf>
    <xf numFmtId="38" fontId="27" fillId="19" borderId="0" xfId="0" applyNumberFormat="1" applyFont="1" applyFill="1" applyAlignment="1" applyProtection="1">
      <alignment horizontal="center"/>
    </xf>
    <xf numFmtId="6" fontId="27" fillId="19" borderId="0" xfId="0" applyNumberFormat="1" applyFont="1" applyFill="1" applyAlignment="1" applyProtection="1">
      <alignment horizontal="center"/>
    </xf>
    <xf numFmtId="166" fontId="23" fillId="19" borderId="13" xfId="28" applyNumberFormat="1" applyFont="1" applyFill="1" applyBorder="1" applyAlignment="1" applyProtection="1">
      <alignment horizontal="right"/>
    </xf>
    <xf numFmtId="0" fontId="23" fillId="19" borderId="11" xfId="0" applyFont="1" applyFill="1" applyBorder="1" applyProtection="1"/>
    <xf numFmtId="0" fontId="23" fillId="19" borderId="10" xfId="0" applyFont="1" applyFill="1" applyBorder="1" applyAlignment="1" applyProtection="1">
      <alignment horizontal="center"/>
    </xf>
    <xf numFmtId="38" fontId="23" fillId="19" borderId="10" xfId="0" applyNumberFormat="1" applyFont="1" applyFill="1" applyBorder="1" applyAlignment="1" applyProtection="1">
      <alignment horizontal="center"/>
    </xf>
    <xf numFmtId="6" fontId="23" fillId="19" borderId="10" xfId="0" applyNumberFormat="1" applyFont="1" applyFill="1" applyBorder="1" applyAlignment="1" applyProtection="1">
      <alignment horizontal="center"/>
    </xf>
    <xf numFmtId="0" fontId="34" fillId="0" borderId="10" xfId="0" applyFont="1" applyBorder="1" applyProtection="1"/>
    <xf numFmtId="0" fontId="23" fillId="19" borderId="15" xfId="0" applyFont="1" applyFill="1" applyBorder="1" applyProtection="1"/>
    <xf numFmtId="6" fontId="23" fillId="19" borderId="0" xfId="0" applyNumberFormat="1" applyFont="1" applyFill="1" applyAlignment="1" applyProtection="1">
      <alignment horizontal="center"/>
    </xf>
    <xf numFmtId="37" fontId="23" fillId="0" borderId="12" xfId="28" applyNumberFormat="1" applyFont="1" applyBorder="1" applyProtection="1"/>
    <xf numFmtId="37" fontId="23" fillId="0" borderId="12" xfId="28" applyNumberFormat="1" applyFont="1" applyBorder="1" applyAlignment="1" applyProtection="1">
      <alignment horizontal="right"/>
    </xf>
    <xf numFmtId="37" fontId="34" fillId="0" borderId="12" xfId="28" applyNumberFormat="1" applyFont="1" applyFill="1" applyBorder="1" applyAlignment="1" applyProtection="1">
      <alignment horizontal="center"/>
    </xf>
    <xf numFmtId="37" fontId="23" fillId="19" borderId="12" xfId="28" applyNumberFormat="1" applyFont="1" applyFill="1" applyBorder="1" applyAlignment="1" applyProtection="1">
      <alignment horizontal="right"/>
    </xf>
    <xf numFmtId="9" fontId="23" fillId="0" borderId="0" xfId="46" applyFont="1" applyProtection="1"/>
    <xf numFmtId="37" fontId="23" fillId="0" borderId="0" xfId="28" applyNumberFormat="1" applyFont="1" applyBorder="1" applyAlignment="1" applyProtection="1">
      <alignment horizontal="right"/>
    </xf>
    <xf numFmtId="37" fontId="34" fillId="0" borderId="0" xfId="28" applyNumberFormat="1" applyFont="1" applyFill="1" applyBorder="1" applyAlignment="1" applyProtection="1">
      <alignment horizontal="center"/>
    </xf>
    <xf numFmtId="37" fontId="23" fillId="19" borderId="0" xfId="28" applyNumberFormat="1" applyFont="1" applyFill="1" applyBorder="1" applyAlignment="1" applyProtection="1">
      <alignment horizontal="right"/>
    </xf>
    <xf numFmtId="37" fontId="23" fillId="0" borderId="10" xfId="28" applyNumberFormat="1" applyFont="1" applyBorder="1" applyProtection="1"/>
    <xf numFmtId="37" fontId="23" fillId="0" borderId="10" xfId="28" applyNumberFormat="1" applyFont="1" applyBorder="1" applyAlignment="1" applyProtection="1">
      <alignment horizontal="right"/>
    </xf>
    <xf numFmtId="37" fontId="34" fillId="0" borderId="10" xfId="28" applyNumberFormat="1" applyFont="1" applyFill="1" applyBorder="1" applyProtection="1"/>
    <xf numFmtId="37" fontId="23" fillId="19" borderId="10" xfId="28" applyNumberFormat="1" applyFont="1" applyFill="1" applyBorder="1" applyAlignment="1" applyProtection="1">
      <alignment horizontal="right"/>
    </xf>
    <xf numFmtId="9" fontId="23" fillId="19" borderId="12" xfId="0" applyNumberFormat="1" applyFont="1" applyFill="1" applyBorder="1" applyAlignment="1" applyProtection="1">
      <alignment horizontal="center"/>
    </xf>
    <xf numFmtId="9" fontId="23" fillId="19" borderId="0" xfId="0" applyNumberFormat="1" applyFont="1" applyFill="1" applyAlignment="1" applyProtection="1">
      <alignment horizontal="center"/>
    </xf>
    <xf numFmtId="0" fontId="68" fillId="19" borderId="0" xfId="0" applyFont="1" applyFill="1" applyAlignment="1" applyProtection="1">
      <alignment horizontal="center" wrapText="1"/>
    </xf>
    <xf numFmtId="0" fontId="29" fillId="25" borderId="0" xfId="0" applyFont="1" applyFill="1" applyAlignment="1" applyProtection="1">
      <alignment horizontal="center" wrapText="1"/>
    </xf>
    <xf numFmtId="0" fontId="23" fillId="19" borderId="0" xfId="0" applyFont="1" applyFill="1" applyAlignment="1" applyProtection="1">
      <alignment horizontal="center" wrapText="1"/>
    </xf>
    <xf numFmtId="0" fontId="27" fillId="19" borderId="0" xfId="0" applyFont="1" applyFill="1" applyAlignment="1" applyProtection="1">
      <alignment horizontal="center" wrapText="1"/>
    </xf>
    <xf numFmtId="0" fontId="35" fillId="19" borderId="0" xfId="0" applyFont="1" applyFill="1" applyProtection="1"/>
    <xf numFmtId="0" fontId="68" fillId="19" borderId="0" xfId="0" applyFont="1" applyFill="1" applyAlignment="1" applyProtection="1">
      <alignment horizontal="center"/>
    </xf>
    <xf numFmtId="171" fontId="23" fillId="0" borderId="0" xfId="0" applyNumberFormat="1" applyFont="1" applyProtection="1"/>
    <xf numFmtId="169" fontId="32" fillId="18" borderId="0" xfId="41" applyFont="1" applyFill="1" applyAlignment="1" applyProtection="1">
      <alignment horizontal="left"/>
    </xf>
    <xf numFmtId="0" fontId="23" fillId="24" borderId="20" xfId="0" applyFont="1" applyFill="1" applyBorder="1" applyProtection="1">
      <protection locked="0"/>
    </xf>
    <xf numFmtId="164" fontId="23" fillId="24" borderId="10" xfId="0" applyNumberFormat="1" applyFont="1" applyFill="1" applyBorder="1" applyProtection="1">
      <protection locked="0"/>
    </xf>
    <xf numFmtId="0" fontId="49" fillId="24" borderId="20" xfId="0" applyFont="1" applyFill="1" applyBorder="1" applyProtection="1">
      <protection locked="0"/>
    </xf>
    <xf numFmtId="164" fontId="23" fillId="24" borderId="12" xfId="0" applyNumberFormat="1" applyFont="1" applyFill="1" applyBorder="1" applyProtection="1">
      <protection locked="0"/>
    </xf>
    <xf numFmtId="38" fontId="23" fillId="24" borderId="0" xfId="0" applyNumberFormat="1" applyFont="1" applyFill="1" applyProtection="1">
      <protection locked="0"/>
    </xf>
    <xf numFmtId="0" fontId="23" fillId="24" borderId="10" xfId="0" applyFont="1" applyFill="1" applyBorder="1" applyProtection="1">
      <protection locked="0"/>
    </xf>
    <xf numFmtId="38" fontId="23" fillId="24" borderId="10" xfId="0" applyNumberFormat="1" applyFont="1" applyFill="1" applyBorder="1" applyProtection="1">
      <protection locked="0"/>
    </xf>
    <xf numFmtId="38" fontId="23" fillId="24" borderId="12" xfId="0" applyNumberFormat="1" applyFont="1" applyFill="1" applyBorder="1" applyProtection="1">
      <protection locked="0"/>
    </xf>
    <xf numFmtId="38" fontId="23" fillId="24" borderId="21" xfId="0" applyNumberFormat="1" applyFont="1" applyFill="1" applyBorder="1" applyProtection="1">
      <protection locked="0"/>
    </xf>
    <xf numFmtId="2" fontId="23" fillId="24" borderId="12" xfId="0" applyNumberFormat="1" applyFont="1" applyFill="1" applyBorder="1" applyAlignment="1" applyProtection="1">
      <alignment horizontal="center"/>
      <protection locked="0"/>
    </xf>
    <xf numFmtId="164" fontId="23" fillId="24" borderId="0" xfId="0" applyNumberFormat="1" applyFont="1" applyFill="1" applyAlignment="1" applyProtection="1">
      <alignment horizontal="center"/>
      <protection locked="0"/>
    </xf>
    <xf numFmtId="38" fontId="27" fillId="24" borderId="0" xfId="0" applyNumberFormat="1" applyFont="1" applyFill="1" applyProtection="1">
      <protection locked="0"/>
    </xf>
    <xf numFmtId="0" fontId="27" fillId="0" borderId="21" xfId="0" applyFont="1" applyBorder="1" applyProtection="1"/>
    <xf numFmtId="0" fontId="23" fillId="0" borderId="21" xfId="0" applyFont="1" applyBorder="1" applyProtection="1"/>
    <xf numFmtId="38" fontId="27" fillId="0" borderId="21" xfId="0" applyNumberFormat="1" applyFont="1" applyBorder="1" applyAlignment="1" applyProtection="1">
      <alignment horizontal="right"/>
    </xf>
    <xf numFmtId="38" fontId="27" fillId="0" borderId="21" xfId="0" applyNumberFormat="1" applyFont="1" applyBorder="1" applyProtection="1"/>
    <xf numFmtId="164" fontId="27" fillId="0" borderId="21" xfId="46" applyNumberFormat="1" applyFont="1" applyBorder="1" applyProtection="1"/>
    <xf numFmtId="0" fontId="23" fillId="0" borderId="10" xfId="0" applyFont="1" applyBorder="1" applyProtection="1"/>
    <xf numFmtId="2" fontId="23" fillId="0" borderId="10" xfId="0" applyNumberFormat="1" applyFont="1" applyBorder="1" applyAlignment="1" applyProtection="1">
      <alignment horizontal="center"/>
    </xf>
    <xf numFmtId="0" fontId="34" fillId="0" borderId="0" xfId="0" applyFont="1" applyAlignment="1" applyProtection="1">
      <alignment horizontal="center"/>
    </xf>
    <xf numFmtId="38" fontId="27" fillId="0" borderId="0" xfId="0" applyNumberFormat="1" applyFont="1" applyProtection="1"/>
    <xf numFmtId="164" fontId="27" fillId="0" borderId="0" xfId="46" applyNumberFormat="1" applyFont="1" applyBorder="1" applyProtection="1"/>
    <xf numFmtId="38" fontId="23" fillId="0" borderId="0" xfId="0" applyNumberFormat="1" applyFont="1" applyProtection="1"/>
    <xf numFmtId="38" fontId="23" fillId="0" borderId="12" xfId="0" applyNumberFormat="1" applyFont="1" applyBorder="1" applyProtection="1"/>
    <xf numFmtId="0" fontId="27" fillId="0" borderId="10" xfId="0" applyFont="1" applyBorder="1" applyProtection="1"/>
    <xf numFmtId="38" fontId="27" fillId="0" borderId="10" xfId="0" applyNumberFormat="1" applyFont="1" applyBorder="1" applyProtection="1"/>
    <xf numFmtId="164" fontId="27" fillId="0" borderId="10" xfId="46" applyNumberFormat="1" applyFont="1" applyBorder="1" applyProtection="1"/>
    <xf numFmtId="0" fontId="49" fillId="0" borderId="0" xfId="0" applyFont="1" applyProtection="1"/>
    <xf numFmtId="164" fontId="23" fillId="0" borderId="21" xfId="46" applyNumberFormat="1" applyFont="1" applyBorder="1" applyProtection="1"/>
    <xf numFmtId="0" fontId="24" fillId="0" borderId="21" xfId="0" applyFont="1" applyBorder="1" applyProtection="1"/>
    <xf numFmtId="0" fontId="24" fillId="0" borderId="21" xfId="0" applyFont="1" applyBorder="1" applyAlignment="1" applyProtection="1">
      <alignment horizontal="right"/>
    </xf>
    <xf numFmtId="164" fontId="23" fillId="0" borderId="0" xfId="46" applyNumberFormat="1" applyFont="1" applyProtection="1"/>
    <xf numFmtId="38" fontId="23" fillId="0" borderId="10" xfId="0" applyNumberFormat="1" applyFont="1" applyBorder="1" applyProtection="1"/>
    <xf numFmtId="38" fontId="34" fillId="0" borderId="0" xfId="0" applyNumberFormat="1" applyFont="1" applyAlignment="1" applyProtection="1">
      <alignment horizontal="center"/>
    </xf>
    <xf numFmtId="9" fontId="23" fillId="0" borderId="12" xfId="0" applyNumberFormat="1" applyFont="1" applyBorder="1" applyAlignment="1" applyProtection="1">
      <alignment horizontal="center"/>
    </xf>
    <xf numFmtId="164" fontId="23" fillId="24" borderId="0" xfId="0" applyNumberFormat="1" applyFont="1" applyFill="1" applyProtection="1">
      <protection locked="0"/>
    </xf>
    <xf numFmtId="6" fontId="23" fillId="0" borderId="10" xfId="0" applyNumberFormat="1" applyFont="1" applyBorder="1" applyProtection="1"/>
    <xf numFmtId="38" fontId="23" fillId="0" borderId="21" xfId="0" applyNumberFormat="1" applyFont="1" applyBorder="1" applyProtection="1"/>
    <xf numFmtId="8" fontId="23" fillId="0" borderId="0" xfId="0" applyNumberFormat="1" applyFont="1" applyAlignment="1" applyProtection="1">
      <alignment horizontal="center"/>
    </xf>
    <xf numFmtId="38" fontId="23" fillId="25" borderId="12" xfId="0" applyNumberFormat="1" applyFont="1" applyFill="1" applyBorder="1" applyProtection="1"/>
    <xf numFmtId="0" fontId="23" fillId="0" borderId="0" xfId="0" applyFont="1" applyAlignment="1" applyProtection="1">
      <alignment horizontal="right"/>
    </xf>
    <xf numFmtId="38" fontId="23" fillId="0" borderId="0" xfId="30" applyNumberFormat="1" applyFont="1" applyBorder="1" applyProtection="1"/>
    <xf numFmtId="2" fontId="23" fillId="0" borderId="0" xfId="0" applyNumberFormat="1" applyFont="1" applyProtection="1"/>
    <xf numFmtId="6" fontId="27" fillId="0" borderId="0" xfId="0" applyNumberFormat="1" applyFont="1" applyProtection="1"/>
    <xf numFmtId="0" fontId="24" fillId="0" borderId="0" xfId="0" applyFont="1" applyAlignment="1" applyProtection="1">
      <alignment horizontal="right"/>
    </xf>
    <xf numFmtId="38" fontId="24" fillId="0" borderId="0" xfId="0" applyNumberFormat="1" applyFont="1" applyProtection="1"/>
    <xf numFmtId="164" fontId="23" fillId="0" borderId="0" xfId="46" applyNumberFormat="1" applyFont="1" applyBorder="1" applyProtection="1"/>
    <xf numFmtId="169" fontId="27" fillId="18" borderId="0" xfId="41" applyFont="1" applyFill="1" applyAlignment="1" applyProtection="1">
      <alignment horizontal="left"/>
    </xf>
    <xf numFmtId="0" fontId="27" fillId="0" borderId="0" xfId="0" applyFont="1" applyAlignment="1" applyProtection="1">
      <alignment horizontal="center"/>
    </xf>
    <xf numFmtId="166" fontId="23" fillId="24" borderId="20" xfId="28" applyNumberFormat="1" applyFont="1" applyFill="1" applyBorder="1" applyAlignment="1" applyProtection="1">
      <protection locked="0"/>
    </xf>
    <xf numFmtId="166" fontId="23" fillId="24" borderId="20" xfId="28" applyNumberFormat="1" applyFont="1" applyFill="1" applyBorder="1" applyProtection="1">
      <protection locked="0"/>
    </xf>
    <xf numFmtId="0" fontId="34" fillId="24" borderId="20" xfId="0" applyFont="1" applyFill="1" applyBorder="1" applyProtection="1">
      <protection locked="0"/>
    </xf>
    <xf numFmtId="169" fontId="23" fillId="24" borderId="10" xfId="41" applyFont="1" applyFill="1" applyBorder="1" applyProtection="1">
      <protection locked="0"/>
    </xf>
    <xf numFmtId="166" fontId="23" fillId="22" borderId="20" xfId="28" applyNumberFormat="1" applyFont="1" applyFill="1" applyBorder="1" applyProtection="1">
      <protection locked="0"/>
    </xf>
    <xf numFmtId="10" fontId="23" fillId="24" borderId="0" xfId="41" applyNumberFormat="1" applyFont="1" applyFill="1" applyAlignment="1" applyProtection="1">
      <alignment horizontal="right"/>
      <protection locked="0"/>
    </xf>
    <xf numFmtId="169" fontId="23" fillId="24" borderId="0" xfId="41" applyFont="1" applyFill="1" applyProtection="1">
      <protection locked="0"/>
    </xf>
    <xf numFmtId="10" fontId="23" fillId="24" borderId="21" xfId="41" applyNumberFormat="1" applyFont="1" applyFill="1" applyBorder="1" applyAlignment="1" applyProtection="1">
      <alignment horizontal="right"/>
      <protection locked="0"/>
    </xf>
    <xf numFmtId="166" fontId="23" fillId="22" borderId="16" xfId="28" applyNumberFormat="1" applyFont="1" applyFill="1" applyBorder="1" applyProtection="1">
      <protection locked="0"/>
    </xf>
    <xf numFmtId="0" fontId="34" fillId="24" borderId="17" xfId="0" applyFont="1" applyFill="1" applyBorder="1" applyProtection="1">
      <protection locked="0"/>
    </xf>
    <xf numFmtId="10" fontId="34" fillId="24" borderId="0" xfId="41" applyNumberFormat="1" applyFont="1" applyFill="1" applyAlignment="1" applyProtection="1">
      <alignment horizontal="right"/>
      <protection locked="0"/>
    </xf>
    <xf numFmtId="169" fontId="34" fillId="24" borderId="0" xfId="41" applyFont="1" applyFill="1" applyAlignment="1" applyProtection="1">
      <alignment horizontal="center"/>
      <protection locked="0"/>
    </xf>
    <xf numFmtId="169" fontId="23" fillId="0" borderId="0" xfId="41" applyFont="1" applyProtection="1"/>
    <xf numFmtId="169" fontId="34" fillId="0" borderId="0" xfId="41" applyFont="1" applyProtection="1"/>
    <xf numFmtId="49" fontId="24" fillId="0" borderId="0" xfId="41" applyNumberFormat="1" applyFont="1" applyAlignment="1" applyProtection="1">
      <alignment horizontal="right"/>
    </xf>
    <xf numFmtId="169" fontId="27" fillId="0" borderId="0" xfId="41" applyFont="1" applyAlignment="1" applyProtection="1">
      <alignment horizontal="right"/>
    </xf>
    <xf numFmtId="166" fontId="27" fillId="0" borderId="0" xfId="28" applyNumberFormat="1" applyFont="1" applyBorder="1" applyAlignment="1" applyProtection="1">
      <alignment horizontal="right"/>
    </xf>
    <xf numFmtId="169" fontId="27" fillId="0" borderId="21" xfId="41" applyFont="1" applyBorder="1" applyProtection="1"/>
    <xf numFmtId="169" fontId="44" fillId="0" borderId="21" xfId="41" applyFont="1" applyBorder="1" applyProtection="1"/>
    <xf numFmtId="49" fontId="24" fillId="0" borderId="21" xfId="41" applyNumberFormat="1" applyFont="1" applyBorder="1" applyAlignment="1" applyProtection="1">
      <alignment horizontal="right"/>
    </xf>
    <xf numFmtId="166" fontId="23" fillId="0" borderId="21" xfId="28" applyNumberFormat="1" applyFont="1" applyBorder="1" applyProtection="1"/>
    <xf numFmtId="169" fontId="27" fillId="0" borderId="0" xfId="41" applyFont="1" applyProtection="1"/>
    <xf numFmtId="169" fontId="44" fillId="0" borderId="0" xfId="41" applyFont="1" applyProtection="1"/>
    <xf numFmtId="169" fontId="27" fillId="0" borderId="0" xfId="41" applyFont="1" applyAlignment="1" applyProtection="1">
      <alignment horizontal="left"/>
    </xf>
    <xf numFmtId="169" fontId="23" fillId="0" borderId="0" xfId="41" applyFont="1" applyAlignment="1" applyProtection="1">
      <alignment horizontal="right"/>
    </xf>
    <xf numFmtId="49" fontId="58" fillId="0" borderId="0" xfId="41" applyNumberFormat="1" applyFont="1" applyAlignment="1" applyProtection="1">
      <alignment horizontal="right"/>
    </xf>
    <xf numFmtId="169" fontId="27" fillId="0" borderId="21" xfId="41" applyFont="1" applyBorder="1" applyAlignment="1" applyProtection="1">
      <alignment horizontal="right"/>
    </xf>
    <xf numFmtId="169" fontId="33" fillId="0" borderId="21" xfId="41" applyFont="1" applyBorder="1" applyProtection="1"/>
    <xf numFmtId="10" fontId="25" fillId="0" borderId="21" xfId="41" applyNumberFormat="1" applyFont="1" applyBorder="1" applyAlignment="1" applyProtection="1">
      <alignment horizontal="right"/>
    </xf>
    <xf numFmtId="166" fontId="27" fillId="0" borderId="20" xfId="28" applyNumberFormat="1" applyFont="1" applyBorder="1" applyProtection="1"/>
    <xf numFmtId="167" fontId="23" fillId="0" borderId="0" xfId="0" applyNumberFormat="1" applyFont="1" applyProtection="1"/>
    <xf numFmtId="0" fontId="51" fillId="0" borderId="0" xfId="0" applyFont="1" applyProtection="1"/>
    <xf numFmtId="166" fontId="51" fillId="0" borderId="0" xfId="28" applyNumberFormat="1" applyFont="1" applyBorder="1" applyProtection="1"/>
    <xf numFmtId="166" fontId="23" fillId="20" borderId="20" xfId="28" applyNumberFormat="1" applyFont="1" applyFill="1" applyBorder="1" applyProtection="1"/>
    <xf numFmtId="169" fontId="23" fillId="0" borderId="0" xfId="41" applyFont="1" applyAlignment="1" applyProtection="1">
      <alignment horizontal="left"/>
    </xf>
    <xf numFmtId="169" fontId="23" fillId="0" borderId="10" xfId="41" applyFont="1" applyBorder="1" applyAlignment="1" applyProtection="1">
      <alignment horizontal="left"/>
    </xf>
    <xf numFmtId="169" fontId="52" fillId="0" borderId="0" xfId="41" applyFont="1" applyAlignment="1" applyProtection="1">
      <alignment horizontal="right"/>
    </xf>
    <xf numFmtId="166" fontId="34" fillId="0" borderId="0" xfId="28" applyNumberFormat="1" applyFont="1" applyBorder="1" applyProtection="1"/>
    <xf numFmtId="6" fontId="23" fillId="0" borderId="0" xfId="41" applyNumberFormat="1" applyFont="1" applyAlignment="1" applyProtection="1">
      <alignment horizontal="right"/>
    </xf>
    <xf numFmtId="166" fontId="23" fillId="20" borderId="16" xfId="28" applyNumberFormat="1" applyFont="1" applyFill="1" applyBorder="1" applyProtection="1"/>
    <xf numFmtId="10" fontId="34" fillId="0" borderId="0" xfId="41" applyNumberFormat="1" applyFont="1" applyAlignment="1" applyProtection="1">
      <alignment horizontal="right"/>
    </xf>
    <xf numFmtId="169" fontId="52" fillId="0" borderId="0" xfId="41" applyFont="1" applyAlignment="1" applyProtection="1">
      <alignment horizontal="left"/>
    </xf>
    <xf numFmtId="169" fontId="27" fillId="0" borderId="10" xfId="41" applyFont="1" applyBorder="1" applyProtection="1"/>
    <xf numFmtId="169" fontId="44" fillId="0" borderId="10" xfId="41" applyFont="1" applyBorder="1" applyProtection="1"/>
    <xf numFmtId="6" fontId="23" fillId="0" borderId="10" xfId="41" applyNumberFormat="1" applyFont="1" applyBorder="1" applyAlignment="1" applyProtection="1">
      <alignment horizontal="right"/>
    </xf>
    <xf numFmtId="169" fontId="24" fillId="0" borderId="0" xfId="41" applyFont="1" applyAlignment="1" applyProtection="1">
      <alignment horizontal="left"/>
    </xf>
    <xf numFmtId="169" fontId="24" fillId="0" borderId="10" xfId="41" applyFont="1" applyBorder="1" applyAlignment="1" applyProtection="1">
      <alignment horizontal="left"/>
    </xf>
    <xf numFmtId="43" fontId="23" fillId="0" borderId="0" xfId="28" applyFont="1" applyBorder="1" applyProtection="1"/>
    <xf numFmtId="169" fontId="23" fillId="0" borderId="12" xfId="41" applyFont="1" applyBorder="1" applyAlignment="1" applyProtection="1">
      <alignment horizontal="left"/>
    </xf>
    <xf numFmtId="169" fontId="34" fillId="0" borderId="12" xfId="41" applyFont="1" applyBorder="1" applyProtection="1"/>
    <xf numFmtId="169" fontId="34" fillId="0" borderId="19" xfId="41" applyFont="1" applyBorder="1" applyProtection="1"/>
    <xf numFmtId="6" fontId="34" fillId="0" borderId="0" xfId="41" applyNumberFormat="1" applyFont="1" applyProtection="1"/>
    <xf numFmtId="43" fontId="34" fillId="0" borderId="0" xfId="28" applyFont="1" applyBorder="1" applyProtection="1"/>
    <xf numFmtId="43" fontId="23" fillId="0" borderId="0" xfId="28" applyFont="1" applyFill="1" applyBorder="1" applyAlignment="1" applyProtection="1">
      <alignment horizontal="left"/>
    </xf>
    <xf numFmtId="169" fontId="27" fillId="0" borderId="10" xfId="41" applyFont="1" applyBorder="1" applyAlignment="1" applyProtection="1">
      <alignment horizontal="left"/>
    </xf>
    <xf numFmtId="169" fontId="34" fillId="0" borderId="10" xfId="41" applyFont="1" applyBorder="1" applyProtection="1"/>
    <xf numFmtId="169" fontId="23" fillId="0" borderId="10" xfId="41" applyFont="1" applyBorder="1" applyAlignment="1" applyProtection="1">
      <alignment horizontal="right"/>
    </xf>
    <xf numFmtId="166" fontId="23" fillId="20" borderId="10" xfId="28" applyNumberFormat="1" applyFont="1" applyFill="1" applyBorder="1" applyProtection="1"/>
    <xf numFmtId="169" fontId="23" fillId="0" borderId="12" xfId="41" applyFont="1" applyBorder="1" applyProtection="1"/>
    <xf numFmtId="169" fontId="23" fillId="0" borderId="19" xfId="41" applyFont="1" applyBorder="1" applyAlignment="1" applyProtection="1">
      <alignment horizontal="left"/>
    </xf>
    <xf numFmtId="169" fontId="23" fillId="0" borderId="12" xfId="41" applyFont="1" applyBorder="1" applyProtection="1"/>
    <xf numFmtId="169" fontId="44" fillId="0" borderId="12" xfId="41" applyFont="1" applyBorder="1" applyProtection="1"/>
    <xf numFmtId="6" fontId="23" fillId="0" borderId="12" xfId="41" applyNumberFormat="1" applyFont="1" applyBorder="1" applyAlignment="1" applyProtection="1">
      <alignment horizontal="right"/>
    </xf>
    <xf numFmtId="169" fontId="23" fillId="0" borderId="13" xfId="41" applyFont="1" applyBorder="1" applyAlignment="1" applyProtection="1">
      <alignment horizontal="left"/>
    </xf>
    <xf numFmtId="168" fontId="34" fillId="0" borderId="0" xfId="30" applyNumberFormat="1" applyFont="1" applyBorder="1" applyProtection="1"/>
    <xf numFmtId="169" fontId="23" fillId="0" borderId="0" xfId="41" applyFont="1" applyProtection="1"/>
    <xf numFmtId="49" fontId="23" fillId="0" borderId="0" xfId="41" applyNumberFormat="1" applyFont="1" applyAlignment="1" applyProtection="1">
      <alignment horizontal="right"/>
    </xf>
    <xf numFmtId="169" fontId="60" fillId="0" borderId="12" xfId="41" applyFont="1" applyBorder="1" applyProtection="1"/>
    <xf numFmtId="169" fontId="24" fillId="0" borderId="12" xfId="41" applyFont="1" applyBorder="1" applyAlignment="1" applyProtection="1">
      <alignment horizontal="left"/>
    </xf>
    <xf numFmtId="169" fontId="60" fillId="0" borderId="0" xfId="41" applyFont="1" applyProtection="1"/>
    <xf numFmtId="169" fontId="60" fillId="0" borderId="10" xfId="41" applyFont="1" applyBorder="1" applyProtection="1"/>
    <xf numFmtId="164" fontId="23" fillId="0" borderId="0" xfId="46" applyNumberFormat="1" applyFont="1" applyFill="1" applyBorder="1" applyProtection="1"/>
    <xf numFmtId="169" fontId="60" fillId="0" borderId="0" xfId="41" applyFont="1" applyAlignment="1" applyProtection="1">
      <alignment horizontal="left"/>
    </xf>
    <xf numFmtId="10" fontId="23" fillId="0" borderId="0" xfId="41" applyNumberFormat="1" applyFont="1" applyAlignment="1" applyProtection="1">
      <alignment horizontal="right"/>
    </xf>
    <xf numFmtId="169" fontId="60" fillId="0" borderId="21" xfId="41" applyFont="1" applyBorder="1" applyAlignment="1" applyProtection="1">
      <alignment horizontal="left"/>
    </xf>
    <xf numFmtId="169" fontId="23" fillId="0" borderId="21" xfId="41" applyFont="1" applyBorder="1" applyAlignment="1" applyProtection="1">
      <alignment horizontal="left"/>
    </xf>
    <xf numFmtId="44" fontId="34" fillId="0" borderId="0" xfId="30" applyFont="1" applyFill="1" applyBorder="1" applyProtection="1"/>
    <xf numFmtId="169" fontId="60" fillId="0" borderId="0" xfId="41" applyFont="1" applyAlignment="1" applyProtection="1">
      <alignment horizontal="right"/>
    </xf>
    <xf numFmtId="169" fontId="24" fillId="0" borderId="19" xfId="41" applyFont="1" applyBorder="1" applyAlignment="1" applyProtection="1">
      <alignment horizontal="left"/>
    </xf>
    <xf numFmtId="5" fontId="34" fillId="0" borderId="12" xfId="41" applyNumberFormat="1" applyFont="1" applyBorder="1" applyProtection="1"/>
    <xf numFmtId="37" fontId="34" fillId="0" borderId="0" xfId="41" applyNumberFormat="1" applyFont="1" applyProtection="1"/>
    <xf numFmtId="0" fontId="50" fillId="0" borderId="0" xfId="0" applyFont="1" applyProtection="1"/>
    <xf numFmtId="166" fontId="23" fillId="0" borderId="0" xfId="28" applyNumberFormat="1" applyFont="1" applyBorder="1" applyAlignment="1" applyProtection="1">
      <alignment horizontal="center"/>
    </xf>
    <xf numFmtId="10" fontId="23" fillId="24" borderId="10" xfId="46" applyNumberFormat="1" applyFont="1" applyFill="1" applyBorder="1" applyProtection="1">
      <protection locked="0"/>
    </xf>
    <xf numFmtId="9" fontId="23" fillId="24" borderId="0" xfId="46" applyFont="1" applyFill="1" applyBorder="1" applyProtection="1">
      <protection locked="0"/>
    </xf>
    <xf numFmtId="10" fontId="23" fillId="24" borderId="0" xfId="46" applyNumberFormat="1" applyFont="1" applyFill="1" applyBorder="1" applyProtection="1">
      <protection locked="0"/>
    </xf>
    <xf numFmtId="0" fontId="24" fillId="0" borderId="0" xfId="0" applyFont="1" applyAlignment="1" applyProtection="1">
      <alignment horizontal="left" wrapText="1"/>
    </xf>
    <xf numFmtId="9" fontId="24" fillId="0" borderId="0" xfId="46" applyFont="1" applyAlignment="1" applyProtection="1">
      <alignment horizontal="right"/>
    </xf>
    <xf numFmtId="0" fontId="24" fillId="0" borderId="0" xfId="0" applyFont="1" applyAlignment="1" applyProtection="1">
      <alignment horizontal="left"/>
    </xf>
    <xf numFmtId="0" fontId="69" fillId="0" borderId="0" xfId="0" applyFont="1" applyProtection="1"/>
    <xf numFmtId="10" fontId="23" fillId="0" borderId="0" xfId="46" applyNumberFormat="1" applyFont="1" applyFill="1" applyBorder="1" applyProtection="1"/>
    <xf numFmtId="10" fontId="23" fillId="0" borderId="0" xfId="46" applyNumberFormat="1" applyFont="1" applyBorder="1" applyProtection="1"/>
    <xf numFmtId="38" fontId="23" fillId="24" borderId="17" xfId="0" applyNumberFormat="1" applyFont="1" applyFill="1" applyBorder="1" applyAlignment="1" applyProtection="1">
      <alignment horizontal="right"/>
      <protection locked="0"/>
    </xf>
    <xf numFmtId="38" fontId="23" fillId="24" borderId="18" xfId="0" applyNumberFormat="1" applyFont="1" applyFill="1" applyBorder="1" applyAlignment="1" applyProtection="1">
      <alignment horizontal="right"/>
      <protection locked="0"/>
    </xf>
    <xf numFmtId="165" fontId="23" fillId="24" borderId="23" xfId="46" applyNumberFormat="1" applyFont="1" applyFill="1" applyBorder="1" applyProtection="1">
      <protection locked="0"/>
    </xf>
    <xf numFmtId="38" fontId="23" fillId="24" borderId="16" xfId="0" applyNumberFormat="1" applyFont="1" applyFill="1" applyBorder="1" applyAlignment="1" applyProtection="1">
      <alignment horizontal="right"/>
      <protection locked="0"/>
    </xf>
    <xf numFmtId="38" fontId="23" fillId="24" borderId="18" xfId="0" applyNumberFormat="1" applyFont="1" applyFill="1" applyBorder="1" applyProtection="1">
      <protection locked="0"/>
    </xf>
    <xf numFmtId="38" fontId="23" fillId="24" borderId="16" xfId="0" applyNumberFormat="1" applyFont="1" applyFill="1" applyBorder="1" applyProtection="1">
      <protection locked="0"/>
    </xf>
    <xf numFmtId="6" fontId="27" fillId="0" borderId="0" xfId="42" applyNumberFormat="1" applyFont="1" applyAlignment="1" applyProtection="1">
      <alignment horizontal="right" wrapText="1"/>
    </xf>
    <xf numFmtId="38" fontId="23" fillId="0" borderId="0" xfId="28" applyNumberFormat="1" applyFont="1" applyFill="1" applyBorder="1" applyProtection="1"/>
    <xf numFmtId="38" fontId="23" fillId="0" borderId="16" xfId="0" applyNumberFormat="1" applyFont="1" applyBorder="1" applyProtection="1"/>
    <xf numFmtId="38" fontId="23" fillId="0" borderId="0" xfId="28" applyNumberFormat="1" applyFont="1" applyProtection="1"/>
    <xf numFmtId="6" fontId="23" fillId="0" borderId="0" xfId="42" applyNumberFormat="1" applyFont="1" applyAlignment="1" applyProtection="1">
      <alignment wrapText="1"/>
    </xf>
    <xf numFmtId="38" fontId="23" fillId="0" borderId="0" xfId="28" applyNumberFormat="1" applyFont="1" applyBorder="1" applyProtection="1"/>
    <xf numFmtId="166" fontId="44" fillId="0" borderId="0" xfId="28" applyNumberFormat="1" applyFont="1" applyBorder="1" applyProtection="1"/>
    <xf numFmtId="166" fontId="44" fillId="0" borderId="0" xfId="28" applyNumberFormat="1" applyFont="1" applyBorder="1" applyAlignment="1" applyProtection="1">
      <alignment horizontal="right"/>
    </xf>
    <xf numFmtId="169" fontId="27" fillId="0" borderId="0" xfId="0" applyNumberFormat="1" applyFont="1" applyAlignment="1" applyProtection="1">
      <alignment wrapText="1"/>
    </xf>
    <xf numFmtId="6" fontId="44" fillId="0" borderId="0" xfId="0" applyNumberFormat="1" applyFont="1" applyAlignment="1" applyProtection="1">
      <alignment horizontal="right"/>
    </xf>
    <xf numFmtId="6" fontId="34" fillId="0" borderId="12" xfId="42" applyNumberFormat="1" applyFont="1" applyBorder="1" applyAlignment="1" applyProtection="1">
      <alignment wrapText="1"/>
    </xf>
    <xf numFmtId="38" fontId="23" fillId="0" borderId="17" xfId="0" applyNumberFormat="1" applyFont="1" applyBorder="1" applyProtection="1"/>
    <xf numFmtId="6" fontId="34" fillId="0" borderId="0" xfId="42" applyNumberFormat="1" applyFont="1" applyAlignment="1" applyProtection="1">
      <alignment wrapText="1"/>
    </xf>
    <xf numFmtId="38" fontId="23" fillId="0" borderId="18" xfId="0" applyNumberFormat="1" applyFont="1" applyBorder="1" applyProtection="1"/>
    <xf numFmtId="38" fontId="23" fillId="26" borderId="18" xfId="0" applyNumberFormat="1" applyFont="1" applyFill="1" applyBorder="1" applyProtection="1"/>
    <xf numFmtId="6" fontId="34" fillId="0" borderId="10" xfId="42" applyNumberFormat="1" applyFont="1" applyBorder="1" applyAlignment="1" applyProtection="1">
      <alignment wrapText="1"/>
    </xf>
    <xf numFmtId="6" fontId="34" fillId="0" borderId="21" xfId="42" applyNumberFormat="1" applyFont="1" applyBorder="1" applyAlignment="1" applyProtection="1">
      <alignment wrapText="1"/>
    </xf>
    <xf numFmtId="38" fontId="23" fillId="0" borderId="20" xfId="0" applyNumberFormat="1" applyFont="1" applyBorder="1" applyProtection="1"/>
    <xf numFmtId="6" fontId="27" fillId="0" borderId="0" xfId="42" applyNumberFormat="1" applyFont="1" applyAlignment="1" applyProtection="1">
      <alignment wrapText="1"/>
    </xf>
    <xf numFmtId="166" fontId="23" fillId="0" borderId="0" xfId="28" applyNumberFormat="1" applyFont="1" applyProtection="1"/>
    <xf numFmtId="0" fontId="23" fillId="0" borderId="0" xfId="42" applyFont="1" applyAlignment="1" applyProtection="1">
      <alignment wrapText="1"/>
    </xf>
    <xf numFmtId="38" fontId="23" fillId="0" borderId="11" xfId="28" applyNumberFormat="1" applyFont="1" applyBorder="1" applyProtection="1"/>
    <xf numFmtId="0" fontId="23" fillId="0" borderId="0" xfId="42" applyFont="1" applyAlignment="1" applyProtection="1">
      <alignment horizontal="left" wrapText="1"/>
    </xf>
    <xf numFmtId="0" fontId="23" fillId="0" borderId="10" xfId="42" applyFont="1" applyBorder="1" applyAlignment="1" applyProtection="1">
      <alignment horizontal="left" wrapText="1"/>
    </xf>
    <xf numFmtId="38" fontId="23" fillId="0" borderId="10" xfId="28" applyNumberFormat="1" applyFont="1" applyBorder="1" applyProtection="1"/>
    <xf numFmtId="38" fontId="56" fillId="0" borderId="0" xfId="28" applyNumberFormat="1" applyFont="1" applyBorder="1" applyAlignment="1" applyProtection="1">
      <alignment horizontal="right"/>
    </xf>
    <xf numFmtId="38" fontId="54" fillId="0" borderId="13" xfId="28" applyNumberFormat="1" applyFont="1" applyBorder="1" applyAlignment="1" applyProtection="1">
      <alignment horizontal="left"/>
    </xf>
    <xf numFmtId="0" fontId="27" fillId="0" borderId="0" xfId="42" applyFont="1" applyAlignment="1" applyProtection="1">
      <alignment wrapText="1"/>
    </xf>
    <xf numFmtId="6" fontId="23" fillId="0" borderId="12" xfId="42" applyNumberFormat="1" applyFont="1" applyBorder="1" applyAlignment="1" applyProtection="1">
      <alignment wrapText="1"/>
    </xf>
    <xf numFmtId="38" fontId="23" fillId="0" borderId="12" xfId="28" applyNumberFormat="1" applyFont="1" applyBorder="1" applyProtection="1"/>
    <xf numFmtId="38" fontId="23" fillId="26" borderId="17" xfId="0" applyNumberFormat="1" applyFont="1" applyFill="1" applyBorder="1" applyProtection="1"/>
    <xf numFmtId="38" fontId="23" fillId="0" borderId="17" xfId="0" applyNumberFormat="1" applyFont="1" applyBorder="1" applyAlignment="1" applyProtection="1">
      <alignment horizontal="right"/>
    </xf>
    <xf numFmtId="6" fontId="23" fillId="0" borderId="10" xfId="42" applyNumberFormat="1" applyFont="1" applyBorder="1" applyAlignment="1" applyProtection="1">
      <alignment wrapText="1"/>
    </xf>
    <xf numFmtId="38" fontId="23" fillId="26" borderId="18" xfId="0" applyNumberFormat="1" applyFont="1" applyFill="1" applyBorder="1" applyAlignment="1" applyProtection="1">
      <alignment horizontal="right"/>
    </xf>
    <xf numFmtId="38" fontId="23" fillId="0" borderId="18" xfId="0" applyNumberFormat="1" applyFont="1" applyBorder="1" applyAlignment="1" applyProtection="1">
      <alignment horizontal="right"/>
    </xf>
    <xf numFmtId="6" fontId="23" fillId="0" borderId="0" xfId="42" applyNumberFormat="1" applyFont="1" applyAlignment="1" applyProtection="1">
      <alignment vertical="center"/>
    </xf>
    <xf numFmtId="172" fontId="23" fillId="0" borderId="0" xfId="0" applyNumberFormat="1" applyFont="1" applyAlignment="1" applyProtection="1">
      <alignment horizontal="center"/>
    </xf>
    <xf numFmtId="169" fontId="32" fillId="18" borderId="0" xfId="0" applyNumberFormat="1" applyFont="1" applyFill="1" applyAlignment="1" applyProtection="1">
      <alignment horizontal="left"/>
    </xf>
    <xf numFmtId="0" fontId="50" fillId="0" borderId="0" xfId="0" applyFont="1" applyAlignment="1" applyProtection="1">
      <alignment horizontal="left"/>
    </xf>
    <xf numFmtId="0" fontId="63" fillId="0" borderId="21" xfId="0" applyFont="1" applyBorder="1" applyAlignment="1" applyProtection="1">
      <alignment horizontal="center"/>
    </xf>
    <xf numFmtId="172" fontId="23" fillId="0" borderId="21" xfId="0" applyNumberFormat="1" applyFont="1" applyBorder="1" applyAlignment="1" applyProtection="1">
      <alignment horizontal="left"/>
    </xf>
    <xf numFmtId="0" fontId="23" fillId="24" borderId="21" xfId="0" applyFont="1" applyFill="1" applyBorder="1" applyAlignment="1" applyProtection="1">
      <alignment horizontal="center"/>
    </xf>
    <xf numFmtId="38" fontId="23" fillId="0" borderId="21" xfId="0" applyNumberFormat="1" applyFont="1" applyBorder="1" applyAlignment="1" applyProtection="1">
      <alignment horizontal="right"/>
    </xf>
    <xf numFmtId="0" fontId="64" fillId="0" borderId="0" xfId="0" applyFont="1" applyProtection="1"/>
    <xf numFmtId="0" fontId="0" fillId="0" borderId="0" xfId="0" applyProtection="1"/>
    <xf numFmtId="0" fontId="33" fillId="0" borderId="10" xfId="0" applyFont="1" applyBorder="1" applyAlignment="1" applyProtection="1">
      <alignment horizontal="center"/>
    </xf>
    <xf numFmtId="0" fontId="58" fillId="0" borderId="10" xfId="0" applyFont="1" applyBorder="1" applyAlignment="1" applyProtection="1">
      <alignment horizontal="center"/>
    </xf>
    <xf numFmtId="0" fontId="58" fillId="0" borderId="10" xfId="0" applyFont="1" applyBorder="1" applyAlignment="1" applyProtection="1">
      <alignment horizontal="center" wrapText="1"/>
    </xf>
    <xf numFmtId="0" fontId="44" fillId="0" borderId="0" xfId="0" applyFont="1" applyProtection="1"/>
    <xf numFmtId="169" fontId="27" fillId="18" borderId="0" xfId="0" applyNumberFormat="1" applyFont="1" applyFill="1" applyAlignment="1" applyProtection="1">
      <alignment horizontal="center"/>
    </xf>
    <xf numFmtId="169" fontId="23" fillId="24" borderId="0" xfId="41" applyFont="1" applyFill="1" applyAlignment="1" applyProtection="1">
      <alignment horizontal="left"/>
      <protection locked="0"/>
    </xf>
    <xf numFmtId="0" fontId="23" fillId="24" borderId="21" xfId="0" applyFont="1" applyFill="1" applyBorder="1" applyAlignment="1" applyProtection="1">
      <alignment vertical="top"/>
      <protection locked="0"/>
    </xf>
    <xf numFmtId="169" fontId="27" fillId="0" borderId="0" xfId="41" applyFont="1" applyFill="1" applyProtection="1"/>
    <xf numFmtId="169" fontId="23" fillId="0" borderId="12" xfId="41" applyFont="1" applyFill="1" applyBorder="1" applyAlignment="1" applyProtection="1">
      <alignment horizontal="left"/>
    </xf>
    <xf numFmtId="169" fontId="23" fillId="0" borderId="0" xfId="41" applyFont="1" applyFill="1" applyAlignment="1" applyProtection="1">
      <alignment horizontal="left"/>
    </xf>
    <xf numFmtId="38" fontId="23" fillId="25" borderId="0" xfId="0" applyNumberFormat="1" applyFont="1" applyFill="1" applyProtection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29" xr:uid="{00000000-0005-0000-0000-00001C000000}"/>
    <cellStyle name="Currency" xfId="30" builtinId="4"/>
    <cellStyle name="Currency 2" xfId="31" xr:uid="{00000000-0005-0000-0000-00001E00000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51" builtinId="8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Development Budget" xfId="41" xr:uid="{00000000-0005-0000-0000-000029000000}"/>
    <cellStyle name="Normal_HDTP99-00 Wkshp 4" xfId="42" xr:uid="{00000000-0005-0000-0000-00002A000000}"/>
    <cellStyle name="Note" xfId="43" builtinId="10" customBuiltin="1"/>
    <cellStyle name="Note 2" xfId="44" xr:uid="{00000000-0005-0000-0000-00002C000000}"/>
    <cellStyle name="Output" xfId="45" builtinId="21" customBuiltin="1"/>
    <cellStyle name="Percent" xfId="46" builtinId="5"/>
    <cellStyle name="Percent 2" xfId="47" xr:uid="{00000000-0005-0000-0000-00002F000000}"/>
    <cellStyle name="Title" xfId="48" builtinId="15" customBuiltin="1"/>
    <cellStyle name="Total" xfId="49" builtinId="25" customBuiltin="1"/>
    <cellStyle name="Warning Text" xfId="50" builtinId="11" customBuiltin="1"/>
  </cellStyles>
  <dxfs count="11"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endy%20K.%20Smith/My%20Documents/CAI/Indianapolis%20HOME%20TA/Application%20Proformas/IndY%20Application%20Proforma%20RENTAL%20June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0)Compliance Info"/>
      <sheetName val="1)Summary"/>
      <sheetName val="2)Unit Mix &amp; Revenue"/>
      <sheetName val="3)Annual Operating Budget"/>
      <sheetName val="4)Operating Cash Flow"/>
      <sheetName val="5)Development Budget"/>
      <sheetName val="6)Subsidy Analysis"/>
      <sheetName val="7)Draw Log"/>
      <sheetName val="Notes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udexchange.info/programs/home/home-income-limits/" TargetMode="External"/><Relationship Id="rId2" Type="http://schemas.openxmlformats.org/officeDocument/2006/relationships/hyperlink" Target="https://www.hudexchange.info/programs/htf/htf-rent-limits/" TargetMode="External"/><Relationship Id="rId1" Type="http://schemas.openxmlformats.org/officeDocument/2006/relationships/hyperlink" Target="https://www.hudexchange.info/programs/home/home-rent-limits/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97"/>
  <sheetViews>
    <sheetView showGridLines="0" tabSelected="1" zoomScale="90" zoomScaleNormal="90" workbookViewId="0">
      <selection activeCell="A65" sqref="A65:G65"/>
    </sheetView>
  </sheetViews>
  <sheetFormatPr defaultColWidth="9.28515625" defaultRowHeight="12.75"/>
  <cols>
    <col min="1" max="1" width="14.28515625" style="136" customWidth="1"/>
    <col min="2" max="2" width="14.5703125" style="38" customWidth="1"/>
    <col min="3" max="7" width="12.7109375" style="38" customWidth="1"/>
    <col min="8" max="8" width="10.85546875" style="38" customWidth="1"/>
    <col min="9" max="9" width="11.7109375" style="38" customWidth="1"/>
    <col min="10" max="10" width="11.28515625" style="38" bestFit="1" customWidth="1"/>
    <col min="11" max="16384" width="9.28515625" style="38"/>
  </cols>
  <sheetData>
    <row r="1" spans="1:49" ht="15.75">
      <c r="A1" s="108" t="s">
        <v>0</v>
      </c>
      <c r="B1" s="109"/>
      <c r="C1" s="109"/>
      <c r="D1" s="109"/>
      <c r="E1" s="109"/>
      <c r="F1" s="109"/>
      <c r="G1" s="109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</row>
    <row r="2" spans="1:49" s="37" customFormat="1">
      <c r="A2" s="39"/>
    </row>
    <row r="3" spans="1:49" s="41" customFormat="1" ht="15">
      <c r="A3" s="40" t="s">
        <v>1</v>
      </c>
    </row>
    <row r="4" spans="1:49" s="41" customFormat="1">
      <c r="B4" s="42" t="s">
        <v>2</v>
      </c>
      <c r="C4" s="117"/>
      <c r="D4" s="117"/>
      <c r="E4" s="117"/>
      <c r="F4" s="117"/>
      <c r="G4" s="117"/>
    </row>
    <row r="5" spans="1:49" s="41" customFormat="1">
      <c r="B5" s="42" t="s">
        <v>3</v>
      </c>
      <c r="C5" s="118"/>
      <c r="D5" s="118"/>
      <c r="E5" s="118"/>
      <c r="F5" s="118"/>
      <c r="G5" s="118"/>
    </row>
    <row r="6" spans="1:49" s="41" customFormat="1">
      <c r="B6" s="42" t="s">
        <v>4</v>
      </c>
      <c r="C6" s="106"/>
      <c r="D6" s="106"/>
      <c r="E6" s="106"/>
      <c r="F6" s="106"/>
      <c r="G6" s="106"/>
    </row>
    <row r="7" spans="1:49" s="37" customFormat="1">
      <c r="B7" s="42" t="s">
        <v>5</v>
      </c>
      <c r="C7" s="115"/>
      <c r="D7" s="115"/>
      <c r="E7" s="43" t="s">
        <v>6</v>
      </c>
      <c r="F7" s="115"/>
      <c r="G7" s="115"/>
    </row>
    <row r="8" spans="1:49" s="37" customFormat="1">
      <c r="B8" s="42" t="s">
        <v>7</v>
      </c>
      <c r="C8" s="34"/>
      <c r="F8" s="43"/>
    </row>
    <row r="9" spans="1:49" s="41" customFormat="1" ht="15">
      <c r="A9" s="40" t="s">
        <v>8</v>
      </c>
    </row>
    <row r="10" spans="1:49" s="41" customFormat="1">
      <c r="A10" s="44"/>
      <c r="B10" s="37" t="s">
        <v>9</v>
      </c>
      <c r="C10" s="116"/>
      <c r="D10" s="116"/>
      <c r="E10" s="116"/>
      <c r="F10" s="116"/>
      <c r="G10" s="116"/>
      <c r="H10" s="124"/>
    </row>
    <row r="11" spans="1:49" s="41" customFormat="1">
      <c r="A11" s="45"/>
      <c r="B11" s="37" t="s">
        <v>10</v>
      </c>
      <c r="C11" s="113"/>
      <c r="D11" s="113"/>
      <c r="E11" s="113"/>
      <c r="F11" s="113"/>
      <c r="G11" s="113"/>
    </row>
    <row r="12" spans="1:49" s="41" customFormat="1">
      <c r="A12" s="45"/>
      <c r="B12" s="37" t="s">
        <v>11</v>
      </c>
      <c r="C12" s="113"/>
      <c r="D12" s="113"/>
      <c r="E12" s="113"/>
      <c r="F12" s="113"/>
      <c r="G12" s="113"/>
    </row>
    <row r="13" spans="1:49" s="41" customFormat="1">
      <c r="A13" s="45"/>
      <c r="B13" s="37" t="s">
        <v>12</v>
      </c>
      <c r="C13" s="113"/>
      <c r="D13" s="113"/>
      <c r="E13" s="113"/>
      <c r="F13" s="113"/>
      <c r="G13" s="113"/>
    </row>
    <row r="14" spans="1:49" s="37" customFormat="1">
      <c r="A14" s="45"/>
      <c r="B14" s="37" t="s">
        <v>13</v>
      </c>
      <c r="C14" s="114"/>
      <c r="D14" s="113"/>
      <c r="E14" s="113"/>
      <c r="F14" s="113"/>
      <c r="G14" s="113"/>
      <c r="I14" s="41"/>
    </row>
    <row r="15" spans="1:49" s="41" customFormat="1">
      <c r="A15" s="46"/>
      <c r="B15" s="46"/>
      <c r="C15" s="47"/>
      <c r="G15" s="48"/>
      <c r="H15" s="125"/>
    </row>
    <row r="16" spans="1:49" s="37" customFormat="1">
      <c r="A16" s="44" t="s">
        <v>14</v>
      </c>
      <c r="B16" s="16"/>
      <c r="C16" s="44" t="s">
        <v>15</v>
      </c>
      <c r="D16" s="16"/>
      <c r="E16" s="44" t="s">
        <v>16</v>
      </c>
      <c r="F16" s="35"/>
      <c r="H16" s="43"/>
      <c r="I16" s="41"/>
    </row>
    <row r="17" spans="1:8" s="37" customFormat="1">
      <c r="A17" s="39"/>
    </row>
    <row r="18" spans="1:8" s="41" customFormat="1">
      <c r="A18" s="49" t="s">
        <v>17</v>
      </c>
      <c r="B18" s="50" t="s">
        <v>18</v>
      </c>
      <c r="C18" s="50" t="s">
        <v>19</v>
      </c>
      <c r="D18" s="50" t="s">
        <v>20</v>
      </c>
      <c r="E18" s="50" t="s">
        <v>21</v>
      </c>
      <c r="F18" s="50" t="s">
        <v>22</v>
      </c>
      <c r="G18" s="51" t="s">
        <v>23</v>
      </c>
    </row>
    <row r="19" spans="1:8" s="126" customFormat="1" ht="12">
      <c r="A19" s="52" t="s">
        <v>24</v>
      </c>
      <c r="B19" s="53">
        <f>'2)Units&amp;Revenue'!C4</f>
        <v>0</v>
      </c>
      <c r="C19" s="53">
        <f>'2)Units&amp;Revenue'!C14</f>
        <v>0</v>
      </c>
      <c r="D19" s="53">
        <f>'2)Units&amp;Revenue'!C24</f>
        <v>0</v>
      </c>
      <c r="E19" s="53">
        <f>'2)Units&amp;Revenue'!C34</f>
        <v>0</v>
      </c>
      <c r="F19" s="53">
        <f>'2)Units&amp;Revenue'!C44</f>
        <v>0</v>
      </c>
      <c r="G19" s="54">
        <f>SUM(B19:F19)</f>
        <v>0</v>
      </c>
    </row>
    <row r="20" spans="1:8" s="126" customFormat="1" ht="12">
      <c r="A20" s="52" t="s">
        <v>25</v>
      </c>
      <c r="B20" s="53">
        <f>'2)Units&amp;Revenue'!C5</f>
        <v>0</v>
      </c>
      <c r="C20" s="53">
        <f>'2)Units&amp;Revenue'!C15</f>
        <v>0</v>
      </c>
      <c r="D20" s="53">
        <f>'2)Units&amp;Revenue'!C25</f>
        <v>0</v>
      </c>
      <c r="E20" s="53">
        <f>'2)Units&amp;Revenue'!C35</f>
        <v>0</v>
      </c>
      <c r="F20" s="53">
        <f>'2)Units&amp;Revenue'!C45</f>
        <v>0</v>
      </c>
      <c r="G20" s="54">
        <f t="shared" ref="G20:G25" si="0">SUM(B20:F20)</f>
        <v>0</v>
      </c>
    </row>
    <row r="21" spans="1:8" s="126" customFormat="1" ht="12">
      <c r="A21" s="52" t="s">
        <v>26</v>
      </c>
      <c r="B21" s="53">
        <f>'2)Units&amp;Revenue'!C6</f>
        <v>0</v>
      </c>
      <c r="C21" s="53">
        <f>'2)Units&amp;Revenue'!C16</f>
        <v>0</v>
      </c>
      <c r="D21" s="53">
        <f>'2)Units&amp;Revenue'!C26</f>
        <v>0</v>
      </c>
      <c r="E21" s="53">
        <f>'2)Units&amp;Revenue'!C36</f>
        <v>0</v>
      </c>
      <c r="F21" s="53">
        <f>'2)Units&amp;Revenue'!C46</f>
        <v>0</v>
      </c>
      <c r="G21" s="54">
        <f t="shared" si="0"/>
        <v>0</v>
      </c>
    </row>
    <row r="22" spans="1:8" s="126" customFormat="1" ht="12">
      <c r="A22" s="52" t="s">
        <v>27</v>
      </c>
      <c r="B22" s="53">
        <f>'2)Units&amp;Revenue'!C7</f>
        <v>0</v>
      </c>
      <c r="C22" s="53">
        <f>'2)Units&amp;Revenue'!C17</f>
        <v>0</v>
      </c>
      <c r="D22" s="53">
        <f>'2)Units&amp;Revenue'!C27</f>
        <v>0</v>
      </c>
      <c r="E22" s="53">
        <f>'2)Units&amp;Revenue'!C37</f>
        <v>0</v>
      </c>
      <c r="F22" s="53">
        <f>'2)Units&amp;Revenue'!C47</f>
        <v>0</v>
      </c>
      <c r="G22" s="54">
        <f t="shared" si="0"/>
        <v>0</v>
      </c>
    </row>
    <row r="23" spans="1:8" s="126" customFormat="1" ht="12">
      <c r="A23" s="52" t="s">
        <v>28</v>
      </c>
      <c r="B23" s="53">
        <f>'2)Units&amp;Revenue'!C8</f>
        <v>0</v>
      </c>
      <c r="C23" s="53">
        <f>'2)Units&amp;Revenue'!C18</f>
        <v>0</v>
      </c>
      <c r="D23" s="53">
        <f>'2)Units&amp;Revenue'!C28</f>
        <v>0</v>
      </c>
      <c r="E23" s="53">
        <f>'2)Units&amp;Revenue'!C38</f>
        <v>0</v>
      </c>
      <c r="F23" s="53">
        <f>'2)Units&amp;Revenue'!C48</f>
        <v>0</v>
      </c>
      <c r="G23" s="54">
        <f t="shared" si="0"/>
        <v>0</v>
      </c>
    </row>
    <row r="24" spans="1:8" s="126" customFormat="1" ht="12">
      <c r="A24" s="52" t="s">
        <v>29</v>
      </c>
      <c r="B24" s="53">
        <f>'2)Units&amp;Revenue'!C9</f>
        <v>0</v>
      </c>
      <c r="C24" s="53">
        <f>'2)Units&amp;Revenue'!C19</f>
        <v>0</v>
      </c>
      <c r="D24" s="53">
        <f>'2)Units&amp;Revenue'!C29</f>
        <v>0</v>
      </c>
      <c r="E24" s="53">
        <f>'2)Units&amp;Revenue'!C39</f>
        <v>0</v>
      </c>
      <c r="F24" s="53">
        <f>'2)Units&amp;Revenue'!C49</f>
        <v>0</v>
      </c>
      <c r="G24" s="54">
        <f t="shared" si="0"/>
        <v>0</v>
      </c>
    </row>
    <row r="25" spans="1:8" s="126" customFormat="1" ht="12">
      <c r="A25" s="55" t="s">
        <v>30</v>
      </c>
      <c r="B25" s="53">
        <f>'2)Units&amp;Revenue'!C10</f>
        <v>0</v>
      </c>
      <c r="C25" s="53">
        <f>'2)Units&amp;Revenue'!C20</f>
        <v>0</v>
      </c>
      <c r="D25" s="53">
        <f>'2)Units&amp;Revenue'!C30</f>
        <v>0</v>
      </c>
      <c r="E25" s="53">
        <f>'2)Units&amp;Revenue'!C40</f>
        <v>0</v>
      </c>
      <c r="F25" s="53">
        <f>'2)Units&amp;Revenue'!C50</f>
        <v>0</v>
      </c>
      <c r="G25" s="54">
        <f t="shared" si="0"/>
        <v>0</v>
      </c>
    </row>
    <row r="26" spans="1:8" s="127" customFormat="1" ht="12">
      <c r="A26" s="56" t="s">
        <v>31</v>
      </c>
      <c r="B26" s="54">
        <f t="shared" ref="B26:G26" si="1">SUM(B19:B25)</f>
        <v>0</v>
      </c>
      <c r="C26" s="54">
        <f t="shared" si="1"/>
        <v>0</v>
      </c>
      <c r="D26" s="54">
        <f t="shared" si="1"/>
        <v>0</v>
      </c>
      <c r="E26" s="54">
        <f t="shared" si="1"/>
        <v>0</v>
      </c>
      <c r="F26" s="54">
        <f t="shared" si="1"/>
        <v>0</v>
      </c>
      <c r="G26" s="57">
        <f t="shared" si="1"/>
        <v>0</v>
      </c>
      <c r="H26" s="127" t="str">
        <f>IF(G26=SUM(B26:F26),"","Error in table")</f>
        <v/>
      </c>
    </row>
    <row r="27" spans="1:8" s="37" customFormat="1">
      <c r="A27" s="39"/>
    </row>
    <row r="28" spans="1:8" s="37" customFormat="1">
      <c r="A28" s="58" t="s">
        <v>32</v>
      </c>
      <c r="B28" s="58"/>
      <c r="C28" s="59" t="s">
        <v>33</v>
      </c>
      <c r="D28" s="59" t="s">
        <v>34</v>
      </c>
    </row>
    <row r="29" spans="1:8" s="37" customFormat="1">
      <c r="A29" s="60" t="s">
        <v>35</v>
      </c>
      <c r="B29" s="60"/>
      <c r="C29" s="61">
        <f>'2)Units&amp;Revenue'!I54</f>
        <v>0</v>
      </c>
      <c r="D29" s="61" t="e">
        <f t="shared" ref="D29:D34" si="2">C29/Units</f>
        <v>#DIV/0!</v>
      </c>
      <c r="F29" s="42" t="s">
        <v>36</v>
      </c>
      <c r="G29" s="62" t="e">
        <f>'2)Units&amp;Revenue'!H55</f>
        <v>#DIV/0!</v>
      </c>
    </row>
    <row r="30" spans="1:8" s="37" customFormat="1">
      <c r="A30" s="37" t="s">
        <v>37</v>
      </c>
      <c r="C30" s="62">
        <f>'2)Units&amp;Revenue'!I63</f>
        <v>0</v>
      </c>
      <c r="D30" s="62" t="e">
        <f t="shared" si="2"/>
        <v>#DIV/0!</v>
      </c>
      <c r="F30" s="42" t="s">
        <v>38</v>
      </c>
      <c r="G30" s="62" t="e">
        <f>G31/Units</f>
        <v>#DIV/0!</v>
      </c>
    </row>
    <row r="31" spans="1:8" s="37" customFormat="1">
      <c r="A31" s="37" t="s">
        <v>39</v>
      </c>
      <c r="C31" s="62">
        <f>'3)Operating Budget'!C59</f>
        <v>0</v>
      </c>
      <c r="D31" s="62" t="e">
        <f t="shared" si="2"/>
        <v>#DIV/0!</v>
      </c>
      <c r="F31" s="42" t="s">
        <v>40</v>
      </c>
      <c r="G31" s="62">
        <f>SqFt</f>
        <v>0</v>
      </c>
    </row>
    <row r="32" spans="1:8" s="37" customFormat="1">
      <c r="A32" s="37" t="s">
        <v>41</v>
      </c>
      <c r="C32" s="62">
        <f>'3)Operating Budget'!C65</f>
        <v>0</v>
      </c>
      <c r="D32" s="62" t="e">
        <f t="shared" si="2"/>
        <v>#DIV/0!</v>
      </c>
      <c r="E32" s="44"/>
      <c r="F32" s="44"/>
    </row>
    <row r="33" spans="1:8" s="37" customFormat="1">
      <c r="A33" s="37" t="s">
        <v>42</v>
      </c>
      <c r="C33" s="62">
        <f>'3)Operating Budget'!C74</f>
        <v>0</v>
      </c>
      <c r="D33" s="62" t="e">
        <f t="shared" si="2"/>
        <v>#DIV/0!</v>
      </c>
      <c r="E33" s="44"/>
      <c r="F33" s="44"/>
      <c r="G33" s="63"/>
    </row>
    <row r="34" spans="1:8" s="37" customFormat="1">
      <c r="A34" s="37" t="s">
        <v>43</v>
      </c>
      <c r="C34" s="62">
        <f>'3)Operating Budget'!C77</f>
        <v>0</v>
      </c>
      <c r="D34" s="62" t="e">
        <f t="shared" si="2"/>
        <v>#DIV/0!</v>
      </c>
    </row>
    <row r="35" spans="1:8" s="37" customFormat="1">
      <c r="A35" s="64" t="s">
        <v>44</v>
      </c>
      <c r="B35" s="64"/>
      <c r="C35" s="65" t="str">
        <f>'4)20 Yr Projection'!C26</f>
        <v>n/a</v>
      </c>
      <c r="D35" s="66"/>
    </row>
    <row r="36" spans="1:8" s="37" customFormat="1" ht="6" customHeight="1">
      <c r="A36" s="39"/>
    </row>
    <row r="37" spans="1:8" s="37" customFormat="1" ht="15">
      <c r="A37" s="107" t="s">
        <v>45</v>
      </c>
      <c r="B37" s="107"/>
      <c r="C37" s="107"/>
      <c r="D37" s="67" t="s">
        <v>23</v>
      </c>
      <c r="E37" s="67" t="s">
        <v>34</v>
      </c>
      <c r="F37" s="67" t="s">
        <v>46</v>
      </c>
      <c r="G37" s="68" t="s">
        <v>47</v>
      </c>
    </row>
    <row r="38" spans="1:8" s="37" customFormat="1">
      <c r="A38" s="69" t="str">
        <f>'5)Dev Budget'!E87</f>
        <v>Subtotal Soft Costs:</v>
      </c>
      <c r="B38" s="69"/>
      <c r="C38" s="60"/>
      <c r="D38" s="61">
        <f>'5)Dev Budget'!F87</f>
        <v>0</v>
      </c>
      <c r="E38" s="61" t="e">
        <f t="shared" ref="E38:E48" si="3">D38/Units</f>
        <v>#DIV/0!</v>
      </c>
      <c r="F38" s="70" t="e">
        <f t="shared" ref="F38:F48" si="4">D38/$D$48</f>
        <v>#DIV/0!</v>
      </c>
      <c r="G38" s="71"/>
    </row>
    <row r="39" spans="1:8" s="37" customFormat="1">
      <c r="A39" s="90" t="str">
        <f>'5)Dev Budget'!E10</f>
        <v>Subtotal Acquisition:</v>
      </c>
      <c r="B39" s="90"/>
      <c r="D39" s="62">
        <f>'5)Dev Budget'!F10</f>
        <v>0</v>
      </c>
      <c r="E39" s="62" t="e">
        <f t="shared" si="3"/>
        <v>#DIV/0!</v>
      </c>
      <c r="F39" s="72" t="e">
        <f t="shared" si="4"/>
        <v>#DIV/0!</v>
      </c>
      <c r="G39" s="73"/>
    </row>
    <row r="40" spans="1:8" s="37" customFormat="1">
      <c r="A40" s="90" t="str">
        <f>'5)Dev Budget'!E27 &amp;   "(including contingency)"</f>
        <v>Subtotal Construction:(including contingency)</v>
      </c>
      <c r="B40" s="74"/>
      <c r="D40" s="62">
        <f>'5)Dev Budget'!F27+'5)Dev Budget'!F29</f>
        <v>0</v>
      </c>
      <c r="E40" s="62" t="e">
        <f t="shared" si="3"/>
        <v>#DIV/0!</v>
      </c>
      <c r="F40" s="72" t="e">
        <f t="shared" si="4"/>
        <v>#DIV/0!</v>
      </c>
      <c r="G40" s="75" t="e">
        <f>D40/$G$31</f>
        <v>#DIV/0!</v>
      </c>
      <c r="H40" s="128"/>
    </row>
    <row r="41" spans="1:8">
      <c r="A41" s="76" t="str">
        <f>'5)Dev Budget'!E36</f>
        <v>Subtotal Arch &amp; Eng:</v>
      </c>
      <c r="B41" s="77"/>
      <c r="D41" s="78">
        <f>'5)Dev Budget'!F36</f>
        <v>0</v>
      </c>
      <c r="E41" s="78" t="e">
        <f t="shared" si="3"/>
        <v>#DIV/0!</v>
      </c>
      <c r="F41" s="79" t="e">
        <f t="shared" si="4"/>
        <v>#DIV/0!</v>
      </c>
      <c r="G41" s="80"/>
      <c r="H41" s="129"/>
    </row>
    <row r="42" spans="1:8">
      <c r="A42" s="76" t="str">
        <f>'5)Dev Budget'!E42</f>
        <v>Subtotal Permits:</v>
      </c>
      <c r="B42" s="77"/>
      <c r="D42" s="78">
        <f>'5)Dev Budget'!F42</f>
        <v>0</v>
      </c>
      <c r="E42" s="78" t="e">
        <f t="shared" si="3"/>
        <v>#DIV/0!</v>
      </c>
      <c r="F42" s="79" t="e">
        <f t="shared" si="4"/>
        <v>#DIV/0!</v>
      </c>
      <c r="G42" s="80"/>
      <c r="H42" s="129"/>
    </row>
    <row r="43" spans="1:8" s="37" customFormat="1">
      <c r="A43" s="90" t="str">
        <f>'5)Dev Budget'!E49</f>
        <v>Subtotal Legal &amp; Accounting:</v>
      </c>
      <c r="B43" s="90"/>
      <c r="D43" s="62">
        <f>'5)Dev Budget'!F49</f>
        <v>0</v>
      </c>
      <c r="E43" s="62" t="e">
        <f t="shared" si="3"/>
        <v>#DIV/0!</v>
      </c>
      <c r="F43" s="72" t="e">
        <f t="shared" si="4"/>
        <v>#DIV/0!</v>
      </c>
      <c r="G43" s="62"/>
    </row>
    <row r="44" spans="1:8" s="37" customFormat="1">
      <c r="A44" s="90" t="str">
        <f>'5)Dev Budget'!E63</f>
        <v>Subtotal Carrying &amp; Construction Financing Costs:</v>
      </c>
      <c r="B44" s="90"/>
      <c r="D44" s="62">
        <f>'5)Dev Budget'!F63</f>
        <v>0</v>
      </c>
      <c r="E44" s="62" t="e">
        <f t="shared" si="3"/>
        <v>#DIV/0!</v>
      </c>
      <c r="F44" s="72" t="e">
        <f t="shared" si="4"/>
        <v>#DIV/0!</v>
      </c>
      <c r="G44" s="62"/>
    </row>
    <row r="45" spans="1:8" s="37" customFormat="1">
      <c r="A45" s="90" t="str">
        <f>'5)Dev Budget'!E72</f>
        <v>Subtotal Permanent Financing &amp; Syndication:</v>
      </c>
      <c r="B45" s="90"/>
      <c r="D45" s="62">
        <f>'5)Dev Budget'!F72</f>
        <v>0</v>
      </c>
      <c r="E45" s="62" t="e">
        <f t="shared" si="3"/>
        <v>#DIV/0!</v>
      </c>
      <c r="F45" s="72" t="e">
        <f t="shared" si="4"/>
        <v>#DIV/0!</v>
      </c>
      <c r="G45" s="62"/>
    </row>
    <row r="46" spans="1:8" s="37" customFormat="1">
      <c r="A46" s="81" t="str">
        <f>'5)Dev Budget'!E100</f>
        <v>Subtotal Reserves &amp; Startup:</v>
      </c>
      <c r="B46" s="90"/>
      <c r="D46" s="62">
        <f>'5)Dev Budget'!F100</f>
        <v>0</v>
      </c>
      <c r="E46" s="62" t="e">
        <f t="shared" si="3"/>
        <v>#DIV/0!</v>
      </c>
      <c r="F46" s="72" t="e">
        <f t="shared" si="4"/>
        <v>#DIV/0!</v>
      </c>
      <c r="G46" s="62"/>
    </row>
    <row r="47" spans="1:8" s="37" customFormat="1">
      <c r="A47" s="82" t="str">
        <f>'5)Dev Budget'!E90</f>
        <v>Subtotal Developer Fee:</v>
      </c>
      <c r="B47" s="83"/>
      <c r="C47" s="64"/>
      <c r="D47" s="84">
        <f>'5)Dev Budget'!F90</f>
        <v>0</v>
      </c>
      <c r="E47" s="84" t="e">
        <f t="shared" si="3"/>
        <v>#DIV/0!</v>
      </c>
      <c r="F47" s="85" t="e">
        <f t="shared" si="4"/>
        <v>#DIV/0!</v>
      </c>
      <c r="G47" s="84"/>
    </row>
    <row r="48" spans="1:8" s="37" customFormat="1">
      <c r="A48" s="86" t="s">
        <v>48</v>
      </c>
      <c r="D48" s="62">
        <f>SUM(D38:D47)</f>
        <v>0</v>
      </c>
      <c r="E48" s="62" t="e">
        <f t="shared" si="3"/>
        <v>#DIV/0!</v>
      </c>
      <c r="F48" s="72" t="e">
        <f t="shared" si="4"/>
        <v>#DIV/0!</v>
      </c>
      <c r="G48" s="75" t="e">
        <f>D48/G31</f>
        <v>#DIV/0!</v>
      </c>
      <c r="H48" s="128"/>
    </row>
    <row r="49" spans="1:41" s="37" customFormat="1">
      <c r="A49" s="86"/>
    </row>
    <row r="50" spans="1:41" ht="15">
      <c r="A50" s="120" t="s">
        <v>49</v>
      </c>
      <c r="B50" s="120"/>
      <c r="C50" s="120"/>
      <c r="D50" s="67" t="s">
        <v>23</v>
      </c>
      <c r="E50" s="67" t="s">
        <v>34</v>
      </c>
      <c r="F50" s="67" t="s">
        <v>46</v>
      </c>
      <c r="G50" s="87"/>
      <c r="H50" s="13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</row>
    <row r="51" spans="1:41">
      <c r="A51" s="110" t="s">
        <v>50</v>
      </c>
      <c r="B51" s="110"/>
      <c r="C51" s="110"/>
      <c r="D51" s="88">
        <f>'3)Operating Budget'!C73</f>
        <v>0</v>
      </c>
      <c r="E51" s="61" t="e">
        <f t="shared" ref="E51:E58" si="5">D51/Units</f>
        <v>#DIV/0!</v>
      </c>
      <c r="F51" s="70" t="e">
        <f>D51/$D$48</f>
        <v>#DIV/0!</v>
      </c>
      <c r="G51" s="89"/>
      <c r="H51" s="130"/>
      <c r="I51" s="37"/>
      <c r="J51" s="90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</row>
    <row r="52" spans="1:41" s="132" customFormat="1">
      <c r="A52" s="112" t="s">
        <v>51</v>
      </c>
      <c r="B52" s="112"/>
      <c r="C52" s="112"/>
      <c r="D52" s="62" t="e">
        <f>Equity</f>
        <v>#DIV/0!</v>
      </c>
      <c r="E52" s="62" t="e">
        <f t="shared" si="5"/>
        <v>#DIV/0!</v>
      </c>
      <c r="F52" s="72" t="e">
        <f t="shared" ref="F52:F58" si="6">D52/$D$48</f>
        <v>#DIV/0!</v>
      </c>
      <c r="G52" s="91"/>
      <c r="H52" s="130"/>
      <c r="I52" s="37"/>
      <c r="J52" s="90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131"/>
      <c r="AN52" s="131"/>
      <c r="AO52" s="131"/>
    </row>
    <row r="53" spans="1:41">
      <c r="A53" s="112" t="s">
        <v>52</v>
      </c>
      <c r="B53" s="112"/>
      <c r="C53" s="112"/>
      <c r="D53" s="104"/>
      <c r="E53" s="62" t="e">
        <f t="shared" si="5"/>
        <v>#DIV/0!</v>
      </c>
      <c r="F53" s="72" t="e">
        <f t="shared" si="6"/>
        <v>#DIV/0!</v>
      </c>
      <c r="G53" s="89"/>
      <c r="H53" s="133"/>
      <c r="I53" s="37"/>
      <c r="J53" s="90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</row>
    <row r="54" spans="1:41">
      <c r="A54" s="111" t="s">
        <v>53</v>
      </c>
      <c r="B54" s="111"/>
      <c r="C54" s="111"/>
      <c r="D54" s="104"/>
      <c r="E54" s="62" t="e">
        <f t="shared" si="5"/>
        <v>#DIV/0!</v>
      </c>
      <c r="F54" s="72" t="e">
        <f t="shared" si="6"/>
        <v>#DIV/0!</v>
      </c>
      <c r="G54" s="89"/>
      <c r="H54" s="133"/>
      <c r="I54" s="37"/>
      <c r="J54" s="90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</row>
    <row r="55" spans="1:41">
      <c r="A55" s="111" t="s">
        <v>54</v>
      </c>
      <c r="B55" s="111"/>
      <c r="C55" s="111"/>
      <c r="D55" s="104"/>
      <c r="E55" s="62" t="e">
        <f t="shared" si="5"/>
        <v>#DIV/0!</v>
      </c>
      <c r="F55" s="72" t="e">
        <f t="shared" si="6"/>
        <v>#DIV/0!</v>
      </c>
      <c r="G55" s="89"/>
      <c r="H55" s="133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</row>
    <row r="56" spans="1:41">
      <c r="A56" s="111" t="s">
        <v>54</v>
      </c>
      <c r="B56" s="111"/>
      <c r="C56" s="111"/>
      <c r="D56" s="104"/>
      <c r="E56" s="62" t="e">
        <f t="shared" si="5"/>
        <v>#DIV/0!</v>
      </c>
      <c r="F56" s="72" t="e">
        <f t="shared" si="6"/>
        <v>#DIV/0!</v>
      </c>
      <c r="G56" s="89"/>
      <c r="H56" s="133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</row>
    <row r="57" spans="1:41">
      <c r="A57" s="112" t="s">
        <v>55</v>
      </c>
      <c r="B57" s="112"/>
      <c r="C57" s="112"/>
      <c r="D57" s="78">
        <f>'8)Lease-Up'!I9</f>
        <v>0</v>
      </c>
      <c r="E57" s="62" t="e">
        <f t="shared" si="5"/>
        <v>#DIV/0!</v>
      </c>
      <c r="F57" s="72" t="e">
        <f t="shared" si="6"/>
        <v>#DIV/0!</v>
      </c>
      <c r="G57" s="89"/>
      <c r="H57" s="133"/>
      <c r="I57" s="37"/>
      <c r="J57" s="90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</row>
    <row r="58" spans="1:41">
      <c r="A58" s="121" t="s">
        <v>56</v>
      </c>
      <c r="B58" s="121"/>
      <c r="C58" s="121"/>
      <c r="D58" s="105"/>
      <c r="E58" s="84" t="e">
        <f t="shared" si="5"/>
        <v>#DIV/0!</v>
      </c>
      <c r="F58" s="85" t="e">
        <f t="shared" si="6"/>
        <v>#DIV/0!</v>
      </c>
      <c r="G58" s="89"/>
      <c r="H58" s="134" t="e">
        <f>(ROUND(DDF/#REF!,2)*100&amp;"% of developer fee deferred")</f>
        <v>#REF!</v>
      </c>
      <c r="I58" s="37"/>
      <c r="J58" s="90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</row>
    <row r="59" spans="1:41" s="37" customFormat="1">
      <c r="A59" s="92" t="s">
        <v>57</v>
      </c>
      <c r="B59" s="42"/>
      <c r="C59" s="42"/>
      <c r="D59" s="93" t="e">
        <f>SUM(D51:D58)</f>
        <v>#DIV/0!</v>
      </c>
      <c r="E59" s="93" t="e">
        <f>SUM(E51:E58)</f>
        <v>#DIV/0!</v>
      </c>
      <c r="F59" s="94" t="e">
        <f>SUM(F51:F58)</f>
        <v>#DIV/0!</v>
      </c>
      <c r="G59" s="95"/>
      <c r="J59" s="90"/>
    </row>
    <row r="60" spans="1:41" s="37" customFormat="1">
      <c r="A60" s="86"/>
      <c r="E60" s="96"/>
      <c r="F60" s="97"/>
    </row>
    <row r="61" spans="1:41" s="135" customFormat="1">
      <c r="A61" s="98" t="s">
        <v>58</v>
      </c>
      <c r="B61" s="99"/>
      <c r="C61" s="99"/>
      <c r="D61" s="100" t="e">
        <f>D59-D48</f>
        <v>#DIV/0!</v>
      </c>
      <c r="E61" s="100" t="e">
        <f>D61/Units</f>
        <v>#DIV/0!</v>
      </c>
      <c r="F61" s="101" t="e">
        <f>D61/D48</f>
        <v>#DIV/0!</v>
      </c>
      <c r="G61" s="102"/>
    </row>
    <row r="62" spans="1:41" s="37" customFormat="1">
      <c r="A62" s="86"/>
    </row>
    <row r="63" spans="1:41" s="37" customFormat="1">
      <c r="A63" s="39"/>
    </row>
    <row r="64" spans="1:41" s="37" customFormat="1">
      <c r="A64" s="39" t="s">
        <v>59</v>
      </c>
    </row>
    <row r="65" spans="1:7" s="37" customFormat="1">
      <c r="A65" s="119"/>
      <c r="B65" s="119"/>
      <c r="C65" s="119"/>
      <c r="D65" s="119"/>
      <c r="E65" s="119"/>
      <c r="F65" s="119"/>
      <c r="G65" s="119"/>
    </row>
    <row r="66" spans="1:7" s="37" customFormat="1">
      <c r="A66" s="119"/>
      <c r="B66" s="119"/>
      <c r="C66" s="119"/>
      <c r="D66" s="119"/>
      <c r="E66" s="119"/>
      <c r="F66" s="119"/>
      <c r="G66" s="119"/>
    </row>
    <row r="67" spans="1:7" s="37" customFormat="1">
      <c r="A67" s="457"/>
      <c r="B67" s="457"/>
      <c r="C67" s="457"/>
      <c r="D67" s="457"/>
      <c r="E67" s="457"/>
      <c r="F67" s="457"/>
      <c r="G67" s="457"/>
    </row>
    <row r="68" spans="1:7" s="37" customFormat="1">
      <c r="A68" s="119"/>
      <c r="B68" s="119"/>
      <c r="C68" s="119"/>
      <c r="D68" s="119"/>
      <c r="E68" s="119"/>
      <c r="F68" s="119"/>
      <c r="G68" s="119"/>
    </row>
    <row r="69" spans="1:7" s="37" customFormat="1">
      <c r="A69" s="119"/>
      <c r="B69" s="119"/>
      <c r="C69" s="119"/>
      <c r="D69" s="119"/>
      <c r="E69" s="119"/>
      <c r="F69" s="119"/>
      <c r="G69" s="119"/>
    </row>
    <row r="70" spans="1:7" s="37" customFormat="1">
      <c r="A70" s="119"/>
      <c r="B70" s="119"/>
      <c r="C70" s="119"/>
      <c r="D70" s="119"/>
      <c r="E70" s="119"/>
      <c r="F70" s="119"/>
      <c r="G70" s="119"/>
    </row>
    <row r="71" spans="1:7" s="37" customFormat="1">
      <c r="A71" s="119"/>
      <c r="B71" s="119"/>
      <c r="C71" s="119"/>
      <c r="D71" s="119"/>
      <c r="E71" s="119"/>
      <c r="F71" s="119"/>
      <c r="G71" s="119"/>
    </row>
    <row r="72" spans="1:7" s="37" customFormat="1">
      <c r="A72" s="119"/>
      <c r="B72" s="119"/>
      <c r="C72" s="119"/>
      <c r="D72" s="119"/>
      <c r="E72" s="119"/>
      <c r="F72" s="119"/>
      <c r="G72" s="119"/>
    </row>
    <row r="73" spans="1:7" s="37" customFormat="1">
      <c r="A73" s="119"/>
      <c r="B73" s="119"/>
      <c r="C73" s="119"/>
      <c r="D73" s="119"/>
      <c r="E73" s="119"/>
      <c r="F73" s="119"/>
      <c r="G73" s="119"/>
    </row>
    <row r="74" spans="1:7" s="37" customFormat="1">
      <c r="A74" s="119"/>
      <c r="B74" s="119"/>
      <c r="C74" s="119"/>
      <c r="D74" s="119"/>
      <c r="E74" s="119"/>
      <c r="F74" s="119"/>
      <c r="G74" s="119"/>
    </row>
    <row r="75" spans="1:7" s="37" customFormat="1">
      <c r="A75" s="119"/>
      <c r="B75" s="119"/>
      <c r="C75" s="119"/>
      <c r="D75" s="119"/>
      <c r="E75" s="119"/>
      <c r="F75" s="119"/>
      <c r="G75" s="119"/>
    </row>
    <row r="76" spans="1:7" s="37" customFormat="1">
      <c r="A76" s="119"/>
      <c r="B76" s="119"/>
      <c r="C76" s="119"/>
      <c r="D76" s="119"/>
      <c r="E76" s="119"/>
      <c r="F76" s="119"/>
      <c r="G76" s="119"/>
    </row>
    <row r="77" spans="1:7" s="37" customFormat="1">
      <c r="A77" s="119"/>
      <c r="B77" s="119"/>
      <c r="C77" s="119"/>
      <c r="D77" s="119"/>
      <c r="E77" s="119"/>
      <c r="F77" s="119"/>
      <c r="G77" s="119"/>
    </row>
    <row r="78" spans="1:7" s="37" customFormat="1">
      <c r="A78" s="119"/>
      <c r="B78" s="119"/>
      <c r="C78" s="119"/>
      <c r="D78" s="119"/>
      <c r="E78" s="119"/>
      <c r="F78" s="119"/>
      <c r="G78" s="119"/>
    </row>
    <row r="79" spans="1:7" s="37" customFormat="1">
      <c r="A79" s="119"/>
      <c r="B79" s="119"/>
      <c r="C79" s="119"/>
      <c r="D79" s="119"/>
      <c r="E79" s="119"/>
      <c r="F79" s="119"/>
      <c r="G79" s="119"/>
    </row>
    <row r="80" spans="1:7" s="37" customFormat="1">
      <c r="A80" s="119"/>
      <c r="B80" s="119"/>
      <c r="C80" s="119"/>
      <c r="D80" s="119"/>
      <c r="E80" s="119"/>
      <c r="F80" s="119"/>
      <c r="G80" s="119"/>
    </row>
    <row r="81" spans="1:7" s="37" customFormat="1">
      <c r="A81" s="119"/>
      <c r="B81" s="119"/>
      <c r="C81" s="119"/>
      <c r="D81" s="119"/>
      <c r="E81" s="119"/>
      <c r="F81" s="119"/>
      <c r="G81" s="119"/>
    </row>
    <row r="82" spans="1:7" s="37" customFormat="1">
      <c r="A82" s="119"/>
      <c r="B82" s="119"/>
      <c r="C82" s="119"/>
      <c r="D82" s="119"/>
      <c r="E82" s="119"/>
      <c r="F82" s="119"/>
      <c r="G82" s="119"/>
    </row>
    <row r="83" spans="1:7" s="37" customFormat="1">
      <c r="A83" s="119"/>
      <c r="B83" s="119"/>
      <c r="C83" s="119"/>
      <c r="D83" s="119"/>
      <c r="E83" s="119"/>
      <c r="F83" s="119"/>
      <c r="G83" s="119"/>
    </row>
    <row r="84" spans="1:7" s="37" customFormat="1">
      <c r="A84" s="119"/>
      <c r="B84" s="119"/>
      <c r="C84" s="119"/>
      <c r="D84" s="119"/>
      <c r="E84" s="119"/>
      <c r="F84" s="119"/>
      <c r="G84" s="119"/>
    </row>
    <row r="85" spans="1:7" s="37" customFormat="1">
      <c r="A85" s="39"/>
    </row>
    <row r="86" spans="1:7" s="37" customFormat="1">
      <c r="A86" s="39"/>
    </row>
    <row r="87" spans="1:7" s="37" customFormat="1">
      <c r="A87" s="39"/>
    </row>
    <row r="88" spans="1:7" s="37" customFormat="1">
      <c r="A88" s="39"/>
    </row>
    <row r="89" spans="1:7" s="37" customFormat="1">
      <c r="A89" s="39"/>
    </row>
    <row r="90" spans="1:7" s="37" customFormat="1">
      <c r="A90" s="39"/>
    </row>
    <row r="91" spans="1:7" s="37" customFormat="1">
      <c r="A91" s="39"/>
    </row>
    <row r="92" spans="1:7" s="37" customFormat="1">
      <c r="A92" s="39"/>
    </row>
    <row r="93" spans="1:7" s="37" customFormat="1">
      <c r="A93" s="39"/>
    </row>
    <row r="94" spans="1:7" s="37" customFormat="1">
      <c r="A94" s="39"/>
    </row>
    <row r="95" spans="1:7" s="37" customFormat="1">
      <c r="A95" s="39"/>
    </row>
    <row r="96" spans="1:7">
      <c r="D96" s="37"/>
      <c r="E96" s="37"/>
      <c r="F96" s="37"/>
    </row>
    <row r="97" spans="4:6">
      <c r="D97" s="37"/>
      <c r="E97" s="37"/>
      <c r="F97" s="37"/>
    </row>
  </sheetData>
  <sheetProtection algorithmName="SHA-512" hashValue="kz4O2ItvgovK/9Jkl1AL6h5bgQBOkaPgM1Q3HoMOUe4LgS3RSaAAM8yyc3GvaZMX+Fw75nC8y3DS4J6NfOYx0A==" saltValue="mXzeoNs41He4GBg/fJCI7Q==" spinCount="100000" sheet="1" objects="1" scenarios="1" selectLockedCells="1"/>
  <mergeCells count="42">
    <mergeCell ref="A67:G67"/>
    <mergeCell ref="A83:G83"/>
    <mergeCell ref="A84:G84"/>
    <mergeCell ref="A78:G78"/>
    <mergeCell ref="A79:G79"/>
    <mergeCell ref="A80:G80"/>
    <mergeCell ref="A81:G81"/>
    <mergeCell ref="A82:G82"/>
    <mergeCell ref="A73:G73"/>
    <mergeCell ref="A74:G74"/>
    <mergeCell ref="A75:G75"/>
    <mergeCell ref="A76:G76"/>
    <mergeCell ref="A77:G77"/>
    <mergeCell ref="A68:G68"/>
    <mergeCell ref="A69:G69"/>
    <mergeCell ref="A70:G70"/>
    <mergeCell ref="A71:G71"/>
    <mergeCell ref="A72:G72"/>
    <mergeCell ref="H50:H52"/>
    <mergeCell ref="A65:G65"/>
    <mergeCell ref="A66:G66"/>
    <mergeCell ref="A52:C52"/>
    <mergeCell ref="A53:C53"/>
    <mergeCell ref="A50:C50"/>
    <mergeCell ref="A58:C58"/>
    <mergeCell ref="A57:C57"/>
    <mergeCell ref="A54:C54"/>
    <mergeCell ref="A55:C55"/>
    <mergeCell ref="C12:G12"/>
    <mergeCell ref="C13:G13"/>
    <mergeCell ref="C14:G14"/>
    <mergeCell ref="C6:G6"/>
    <mergeCell ref="A37:C37"/>
    <mergeCell ref="A1:G1"/>
    <mergeCell ref="A51:C51"/>
    <mergeCell ref="A56:C56"/>
    <mergeCell ref="C7:D7"/>
    <mergeCell ref="F7:G7"/>
    <mergeCell ref="C10:G10"/>
    <mergeCell ref="C11:G11"/>
    <mergeCell ref="C4:G4"/>
    <mergeCell ref="C5:G5"/>
  </mergeCells>
  <phoneticPr fontId="0" type="noConversion"/>
  <dataValidations count="2">
    <dataValidation type="list" allowBlank="1" showInputMessage="1" showErrorMessage="1" sqref="B16" xr:uid="{00000000-0002-0000-0000-000002000000}">
      <formula1>"New,Rehab"</formula1>
    </dataValidation>
    <dataValidation type="list" allowBlank="1" showInputMessage="1" showErrorMessage="1" sqref="F16" xr:uid="{00000000-0002-0000-0000-000004000000}">
      <formula1>"Fixed, Floating, Not Applicable"</formula1>
    </dataValidation>
  </dataValidations>
  <printOptions horizontalCentered="1"/>
  <pageMargins left="0.5" right="0.5" top="0.5" bottom="0.5" header="0.5" footer="0.5"/>
  <pageSetup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06"/>
  <sheetViews>
    <sheetView showGridLines="0" zoomScale="90" zoomScaleNormal="90" workbookViewId="0">
      <selection activeCell="F44" sqref="F44"/>
    </sheetView>
  </sheetViews>
  <sheetFormatPr defaultColWidth="9.28515625" defaultRowHeight="12.75" outlineLevelRow="1" outlineLevelCol="1"/>
  <cols>
    <col min="1" max="1" width="2.5703125" style="154" bestFit="1" customWidth="1"/>
    <col min="2" max="2" width="10.7109375" style="38" customWidth="1"/>
    <col min="3" max="3" width="9.28515625" style="172" bestFit="1" customWidth="1"/>
    <col min="4" max="4" width="11.7109375" style="172" customWidth="1"/>
    <col min="5" max="5" width="10.28515625" style="172" bestFit="1" customWidth="1"/>
    <col min="6" max="6" width="9.28515625" style="172" bestFit="1" customWidth="1"/>
    <col min="7" max="7" width="9.28515625" style="38" bestFit="1" customWidth="1"/>
    <col min="8" max="8" width="9.140625" style="38" bestFit="1" customWidth="1"/>
    <col min="9" max="9" width="10.7109375" style="38" bestFit="1" customWidth="1"/>
    <col min="10" max="10" width="9" style="38" customWidth="1"/>
    <col min="11" max="12" width="11.85546875" style="38" customWidth="1"/>
    <col min="13" max="13" width="2.28515625" style="38" customWidth="1"/>
    <col min="14" max="14" width="11.85546875" style="38" customWidth="1"/>
    <col min="15" max="15" width="2.28515625" style="156" customWidth="1"/>
    <col min="16" max="16" width="10.140625" style="38" customWidth="1"/>
    <col min="17" max="17" width="11.42578125" style="38" customWidth="1" outlineLevel="1"/>
    <col min="18" max="18" width="34.28515625" style="173" bestFit="1" customWidth="1"/>
    <col min="19" max="26" width="9.28515625" style="38" customWidth="1"/>
    <col min="27" max="16384" width="9.28515625" style="38"/>
  </cols>
  <sheetData>
    <row r="1" spans="1:24" ht="16.5" customHeight="1">
      <c r="B1" s="258" t="str">
        <f>"REVENUE  "&amp;Project&amp;" ("&amp;Developer&amp;")"</f>
        <v>REVENUE   ()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R1" s="171"/>
    </row>
    <row r="2" spans="1:24" s="37" customFormat="1" ht="13.15" customHeight="1">
      <c r="A2" s="256"/>
      <c r="O2" s="156"/>
      <c r="Q2" s="38"/>
      <c r="R2" s="171"/>
      <c r="S2" s="38"/>
      <c r="T2" s="38"/>
      <c r="U2" s="38"/>
      <c r="V2" s="38"/>
      <c r="W2" s="38"/>
      <c r="X2" s="38"/>
    </row>
    <row r="3" spans="1:24" s="37" customFormat="1" ht="13.15" customHeight="1" outlineLevel="1">
      <c r="A3" s="251" t="str">
        <f>LEFT(B3,1)</f>
        <v>0</v>
      </c>
      <c r="B3" s="252" t="s">
        <v>60</v>
      </c>
      <c r="C3" s="43" t="s">
        <v>61</v>
      </c>
      <c r="D3" s="253" t="s">
        <v>62</v>
      </c>
      <c r="E3" s="43" t="s">
        <v>63</v>
      </c>
      <c r="F3" s="43" t="s">
        <v>64</v>
      </c>
      <c r="G3" s="43" t="s">
        <v>65</v>
      </c>
      <c r="H3" s="253" t="s">
        <v>66</v>
      </c>
      <c r="I3" s="253" t="s">
        <v>67</v>
      </c>
      <c r="J3" s="253" t="s">
        <v>68</v>
      </c>
      <c r="K3" s="253" t="s">
        <v>69</v>
      </c>
      <c r="L3" s="253" t="s">
        <v>70</v>
      </c>
      <c r="M3" s="253"/>
      <c r="N3" s="253" t="s">
        <v>71</v>
      </c>
      <c r="O3" s="156"/>
      <c r="P3" s="253" t="s">
        <v>72</v>
      </c>
      <c r="Q3" s="38" t="s">
        <v>73</v>
      </c>
      <c r="R3" s="171"/>
      <c r="S3" s="38"/>
      <c r="T3" s="38"/>
      <c r="U3" s="38"/>
      <c r="V3" s="38"/>
      <c r="W3" s="38"/>
      <c r="X3" s="38"/>
    </row>
    <row r="4" spans="1:24" ht="13.15" customHeight="1" outlineLevel="1">
      <c r="A4" s="251" t="str">
        <f>A3</f>
        <v>0</v>
      </c>
      <c r="B4" s="60"/>
      <c r="C4" s="18"/>
      <c r="D4" s="249">
        <v>0.3</v>
      </c>
      <c r="E4" s="18"/>
      <c r="F4" s="18"/>
      <c r="G4" s="18"/>
      <c r="H4" s="237">
        <f>C4*G4</f>
        <v>0</v>
      </c>
      <c r="I4" s="237">
        <f>H4*12</f>
        <v>0</v>
      </c>
      <c r="J4" s="237">
        <f t="shared" ref="J4:J10" si="0">UA0B</f>
        <v>0</v>
      </c>
      <c r="K4" s="238" t="str">
        <f t="shared" ref="K4:K10" si="1">IF(G4=0,"-",G4+J4)</f>
        <v>-</v>
      </c>
      <c r="L4" s="238" t="str" cm="1">
        <f t="array" ref="L4">IF(G4=0,"-",(INDEX(Rents,A4+1,((D4*100)-10)/10)))</f>
        <v>-</v>
      </c>
      <c r="M4" s="239">
        <f>IF(K4="-",0,IF(K4&gt;L4,1,0))</f>
        <v>0</v>
      </c>
      <c r="N4" s="238" t="str">
        <f>IF(G4=0,"-",$D$79)</f>
        <v>-</v>
      </c>
      <c r="O4" s="239">
        <f>IF(K4="-",0,IF(K4&gt;N4,1,0))</f>
        <v>0</v>
      </c>
      <c r="P4" s="240">
        <f>F4*C4</f>
        <v>0</v>
      </c>
      <c r="Q4" s="241" t="str" cm="1">
        <f t="array" ref="Q4">IFERROR(K4/INDEX(Rents,(A4+1),8),"")</f>
        <v/>
      </c>
      <c r="R4" s="171" t="s">
        <v>74</v>
      </c>
    </row>
    <row r="5" spans="1:24" ht="13.15" customHeight="1" outlineLevel="1">
      <c r="A5" s="251" t="str">
        <f>A3</f>
        <v>0</v>
      </c>
      <c r="B5" s="37"/>
      <c r="C5" s="19"/>
      <c r="D5" s="250">
        <v>0.4</v>
      </c>
      <c r="E5" s="19"/>
      <c r="F5" s="19"/>
      <c r="G5" s="19"/>
      <c r="H5" s="216">
        <f t="shared" ref="H5:H10" si="2">C5*G5</f>
        <v>0</v>
      </c>
      <c r="I5" s="216">
        <f t="shared" ref="I5:I10" si="3">H5*12</f>
        <v>0</v>
      </c>
      <c r="J5" s="216">
        <f t="shared" si="0"/>
        <v>0</v>
      </c>
      <c r="K5" s="242" t="str">
        <f t="shared" si="1"/>
        <v>-</v>
      </c>
      <c r="L5" s="242" t="str" cm="1">
        <f t="array" ref="L5">IF(G5=0,"-",(INDEX(Rents,A5+1,((D5*100)-10)/10)))</f>
        <v>-</v>
      </c>
      <c r="M5" s="243">
        <f t="shared" ref="M5:M9" si="4">IF(K5="-",0,IF(K5&gt;L5,1,0))</f>
        <v>0</v>
      </c>
      <c r="N5" s="242" t="str">
        <f>IF(G5=0,"-",$D$79)</f>
        <v>-</v>
      </c>
      <c r="O5" s="243">
        <f t="shared" ref="O5:O9" si="5">IF(K5="-",0,IF(K5&gt;N5,1,0))</f>
        <v>0</v>
      </c>
      <c r="P5" s="244">
        <f t="shared" ref="P5:P10" si="6">F5*C5</f>
        <v>0</v>
      </c>
      <c r="Q5" s="241" t="str" cm="1">
        <f t="array" ref="Q5">IFERROR(K5/INDEX(Rents,(A5+1),8),"")</f>
        <v/>
      </c>
      <c r="R5" s="171" t="s">
        <v>74</v>
      </c>
    </row>
    <row r="6" spans="1:24" ht="13.15" customHeight="1" outlineLevel="1">
      <c r="A6" s="251" t="str">
        <f>A3</f>
        <v>0</v>
      </c>
      <c r="B6" s="37"/>
      <c r="C6" s="19"/>
      <c r="D6" s="250">
        <v>0.5</v>
      </c>
      <c r="E6" s="19"/>
      <c r="F6" s="19"/>
      <c r="G6" s="19"/>
      <c r="H6" s="216">
        <f t="shared" si="2"/>
        <v>0</v>
      </c>
      <c r="I6" s="216">
        <f t="shared" si="3"/>
        <v>0</v>
      </c>
      <c r="J6" s="216">
        <f t="shared" si="0"/>
        <v>0</v>
      </c>
      <c r="K6" s="242" t="str">
        <f t="shared" si="1"/>
        <v>-</v>
      </c>
      <c r="L6" s="242" t="str" cm="1">
        <f t="array" ref="L6">IF(G6=0,"-",(INDEX(Rents,A6+1,((D6*100)-10)/10)))</f>
        <v>-</v>
      </c>
      <c r="M6" s="243">
        <f t="shared" si="4"/>
        <v>0</v>
      </c>
      <c r="N6" s="242" t="str">
        <f>IF(G6=0,"-",$D$79)</f>
        <v>-</v>
      </c>
      <c r="O6" s="243">
        <f t="shared" si="5"/>
        <v>0</v>
      </c>
      <c r="P6" s="244">
        <f t="shared" si="6"/>
        <v>0</v>
      </c>
      <c r="Q6" s="241" t="str" cm="1">
        <f t="array" ref="Q6">IFERROR(K6/INDEX(Rents,(A6+1),8),"")</f>
        <v/>
      </c>
      <c r="R6" s="171" t="s">
        <v>74</v>
      </c>
    </row>
    <row r="7" spans="1:24" ht="13.15" customHeight="1" outlineLevel="1">
      <c r="A7" s="251" t="str">
        <f>A3</f>
        <v>0</v>
      </c>
      <c r="B7" s="37"/>
      <c r="C7" s="19"/>
      <c r="D7" s="250">
        <v>0.6</v>
      </c>
      <c r="E7" s="19"/>
      <c r="F7" s="19"/>
      <c r="G7" s="19"/>
      <c r="H7" s="216">
        <f t="shared" si="2"/>
        <v>0</v>
      </c>
      <c r="I7" s="216">
        <f t="shared" si="3"/>
        <v>0</v>
      </c>
      <c r="J7" s="216">
        <f t="shared" si="0"/>
        <v>0</v>
      </c>
      <c r="K7" s="242" t="str">
        <f t="shared" si="1"/>
        <v>-</v>
      </c>
      <c r="L7" s="242" t="str" cm="1">
        <f t="array" ref="L7">IF(G7=0,"-",(INDEX(Rents,A7+1,((D7*100)-10)/10)))</f>
        <v>-</v>
      </c>
      <c r="M7" s="243">
        <f t="shared" si="4"/>
        <v>0</v>
      </c>
      <c r="N7" s="242" t="str">
        <f>IF(G7=0,"-",$E$79)</f>
        <v>-</v>
      </c>
      <c r="O7" s="243">
        <f t="shared" si="5"/>
        <v>0</v>
      </c>
      <c r="P7" s="244">
        <f t="shared" si="6"/>
        <v>0</v>
      </c>
      <c r="Q7" s="241" t="str" cm="1">
        <f t="array" ref="Q7">IFERROR(K7/INDEX(Rents,(A7+1),8),"")</f>
        <v/>
      </c>
      <c r="R7" s="171" t="s">
        <v>75</v>
      </c>
    </row>
    <row r="8" spans="1:24" ht="13.15" customHeight="1" outlineLevel="1">
      <c r="A8" s="251" t="str">
        <f>A3</f>
        <v>0</v>
      </c>
      <c r="B8" s="37"/>
      <c r="C8" s="19"/>
      <c r="D8" s="250">
        <v>0.7</v>
      </c>
      <c r="E8" s="19"/>
      <c r="F8" s="19"/>
      <c r="G8" s="19"/>
      <c r="H8" s="216">
        <f t="shared" si="2"/>
        <v>0</v>
      </c>
      <c r="I8" s="216">
        <f t="shared" si="3"/>
        <v>0</v>
      </c>
      <c r="J8" s="216">
        <f t="shared" si="0"/>
        <v>0</v>
      </c>
      <c r="K8" s="242" t="str">
        <f t="shared" si="1"/>
        <v>-</v>
      </c>
      <c r="L8" s="242" t="str" cm="1">
        <f t="array" ref="L8">IF(G8=0,"-",(INDEX(Rents,A8+1,((D8*100)-10)/10)))</f>
        <v>-</v>
      </c>
      <c r="M8" s="243">
        <f t="shared" si="4"/>
        <v>0</v>
      </c>
      <c r="N8" s="242" t="str">
        <f t="shared" ref="N8:N9" si="7">IF(G8=0,"-",$E$79)</f>
        <v>-</v>
      </c>
      <c r="O8" s="243">
        <f t="shared" si="5"/>
        <v>0</v>
      </c>
      <c r="P8" s="244">
        <f t="shared" si="6"/>
        <v>0</v>
      </c>
      <c r="Q8" s="241" t="str" cm="1">
        <f t="array" ref="Q8">IFERROR(K8/INDEX(Rents,(A8+1),8),"")</f>
        <v/>
      </c>
      <c r="R8" s="171" t="s">
        <v>75</v>
      </c>
    </row>
    <row r="9" spans="1:24" ht="13.15" customHeight="1" outlineLevel="1">
      <c r="A9" s="251" t="str">
        <f>A3</f>
        <v>0</v>
      </c>
      <c r="B9" s="37"/>
      <c r="C9" s="19"/>
      <c r="D9" s="250">
        <v>0.8</v>
      </c>
      <c r="E9" s="19"/>
      <c r="F9" s="19"/>
      <c r="G9" s="19"/>
      <c r="H9" s="216">
        <f t="shared" si="2"/>
        <v>0</v>
      </c>
      <c r="I9" s="216">
        <f t="shared" si="3"/>
        <v>0</v>
      </c>
      <c r="J9" s="216">
        <f t="shared" si="0"/>
        <v>0</v>
      </c>
      <c r="K9" s="242" t="str">
        <f t="shared" si="1"/>
        <v>-</v>
      </c>
      <c r="L9" s="242" t="str" cm="1">
        <f t="array" ref="L9">IF(G9=0,"-",(INDEX(Rents,A9+1,((D9*100)-10)/10)))</f>
        <v>-</v>
      </c>
      <c r="M9" s="243">
        <f t="shared" si="4"/>
        <v>0</v>
      </c>
      <c r="N9" s="242" t="str">
        <f t="shared" si="7"/>
        <v>-</v>
      </c>
      <c r="O9" s="243">
        <f t="shared" si="5"/>
        <v>0</v>
      </c>
      <c r="P9" s="244">
        <f t="shared" si="6"/>
        <v>0</v>
      </c>
      <c r="Q9" s="241" t="str" cm="1">
        <f t="array" ref="Q9">IFERROR(K9/INDEX(Rents,(A9+1),8),"")</f>
        <v/>
      </c>
      <c r="R9" s="171" t="s">
        <v>75</v>
      </c>
    </row>
    <row r="10" spans="1:24" ht="13.15" customHeight="1" outlineLevel="1">
      <c r="A10" s="251" t="str">
        <f>A3</f>
        <v>0</v>
      </c>
      <c r="B10" s="64"/>
      <c r="C10" s="17"/>
      <c r="D10" s="231" t="s">
        <v>76</v>
      </c>
      <c r="E10" s="17"/>
      <c r="F10" s="17"/>
      <c r="G10" s="17"/>
      <c r="H10" s="245">
        <f t="shared" si="2"/>
        <v>0</v>
      </c>
      <c r="I10" s="245">
        <f t="shared" si="3"/>
        <v>0</v>
      </c>
      <c r="J10" s="245">
        <f t="shared" si="0"/>
        <v>0</v>
      </c>
      <c r="K10" s="246" t="str">
        <f t="shared" si="1"/>
        <v>-</v>
      </c>
      <c r="L10" s="246" t="s">
        <v>77</v>
      </c>
      <c r="M10" s="246"/>
      <c r="N10" s="246" t="s">
        <v>77</v>
      </c>
      <c r="O10" s="247"/>
      <c r="P10" s="248">
        <f t="shared" si="6"/>
        <v>0</v>
      </c>
      <c r="Q10" s="257"/>
      <c r="R10" s="171"/>
      <c r="S10" s="257"/>
      <c r="T10" s="257"/>
      <c r="U10" s="257"/>
      <c r="V10" s="257"/>
      <c r="W10" s="257"/>
    </row>
    <row r="11" spans="1:24" s="37" customFormat="1" ht="13.15" customHeight="1" outlineLevel="1">
      <c r="A11" s="256"/>
      <c r="B11" s="37" t="s">
        <v>78</v>
      </c>
      <c r="C11" s="43">
        <f>SUM(C4:C10)</f>
        <v>0</v>
      </c>
      <c r="D11" s="43"/>
      <c r="E11" s="43"/>
      <c r="F11" s="43"/>
      <c r="H11" s="216">
        <f>SUM(H4:H10)</f>
        <v>0</v>
      </c>
      <c r="I11" s="216">
        <f>SUM(I4:I10)</f>
        <v>0</v>
      </c>
      <c r="J11" s="217"/>
      <c r="K11" s="217"/>
      <c r="L11" s="217"/>
      <c r="M11" s="217"/>
      <c r="N11" s="217"/>
      <c r="O11" s="218"/>
      <c r="P11" s="216">
        <f>SUM(P4:P10)</f>
        <v>0</v>
      </c>
      <c r="Q11" s="38"/>
      <c r="R11" s="171"/>
      <c r="S11" s="38"/>
      <c r="T11" s="38"/>
      <c r="U11" s="38"/>
      <c r="V11" s="38"/>
      <c r="W11" s="38"/>
      <c r="X11" s="38"/>
    </row>
    <row r="12" spans="1:24" s="37" customFormat="1" ht="13.15" customHeight="1">
      <c r="A12" s="256"/>
      <c r="C12" s="43"/>
      <c r="D12" s="43"/>
      <c r="E12" s="43"/>
      <c r="F12" s="43"/>
      <c r="O12" s="156"/>
      <c r="Q12" s="38"/>
      <c r="R12" s="171"/>
      <c r="S12" s="38"/>
      <c r="T12" s="38"/>
      <c r="U12" s="38"/>
      <c r="V12" s="38"/>
      <c r="W12" s="38"/>
      <c r="X12" s="38"/>
    </row>
    <row r="13" spans="1:24" s="37" customFormat="1" ht="13.15" customHeight="1" outlineLevel="1">
      <c r="A13" s="251" t="str">
        <f>LEFT(B13,1)</f>
        <v>1</v>
      </c>
      <c r="B13" s="252" t="s">
        <v>79</v>
      </c>
      <c r="C13" s="43" t="s">
        <v>61</v>
      </c>
      <c r="D13" s="253" t="s">
        <v>62</v>
      </c>
      <c r="E13" s="43" t="s">
        <v>63</v>
      </c>
      <c r="F13" s="43" t="s">
        <v>64</v>
      </c>
      <c r="G13" s="43" t="s">
        <v>65</v>
      </c>
      <c r="H13" s="253" t="s">
        <v>66</v>
      </c>
      <c r="I13" s="253" t="s">
        <v>67</v>
      </c>
      <c r="J13" s="253" t="s">
        <v>68</v>
      </c>
      <c r="K13" s="253" t="s">
        <v>69</v>
      </c>
      <c r="L13" s="253" t="s">
        <v>70</v>
      </c>
      <c r="M13" s="253"/>
      <c r="N13" s="253" t="s">
        <v>71</v>
      </c>
      <c r="O13" s="156"/>
      <c r="P13" s="253" t="s">
        <v>72</v>
      </c>
      <c r="Q13" s="38" t="s">
        <v>73</v>
      </c>
      <c r="R13" s="171"/>
      <c r="S13" s="38"/>
      <c r="T13" s="38"/>
      <c r="U13" s="38"/>
      <c r="V13" s="38"/>
      <c r="W13" s="38"/>
      <c r="X13" s="38"/>
    </row>
    <row r="14" spans="1:24" ht="13.15" customHeight="1" outlineLevel="1">
      <c r="A14" s="251" t="str">
        <f>A13</f>
        <v>1</v>
      </c>
      <c r="B14" s="60"/>
      <c r="C14" s="18"/>
      <c r="D14" s="249">
        <v>0.3</v>
      </c>
      <c r="E14" s="18"/>
      <c r="F14" s="18"/>
      <c r="G14" s="18"/>
      <c r="H14" s="237">
        <f>C14*G14</f>
        <v>0</v>
      </c>
      <c r="I14" s="237">
        <f>H14*12</f>
        <v>0</v>
      </c>
      <c r="J14" s="237">
        <f t="shared" ref="J14:J20" si="8">UA1B</f>
        <v>0</v>
      </c>
      <c r="K14" s="238" t="str">
        <f t="shared" ref="K14:K19" si="9">IF(G14=0,"-",G14+J14)</f>
        <v>-</v>
      </c>
      <c r="L14" s="238" t="str" cm="1">
        <f t="array" ref="L14">IF(G14=0,"-",(INDEX(Rents,A14+1,((D14*100)-10)/10)))</f>
        <v>-</v>
      </c>
      <c r="M14" s="239">
        <f>IF(K14="-",0,IF(K14&gt;L14,1,0))</f>
        <v>0</v>
      </c>
      <c r="N14" s="238" t="str">
        <f>IF(G14=0,"-",$D$80)</f>
        <v>-</v>
      </c>
      <c r="O14" s="239">
        <f>IF(K14="-",0,IF(K14&gt;N14,1,0))</f>
        <v>0</v>
      </c>
      <c r="P14" s="240">
        <f t="shared" ref="P14:P20" si="10">F14*C14</f>
        <v>0</v>
      </c>
      <c r="Q14" s="241" t="str" cm="1">
        <f t="array" ref="Q14">IFERROR(K14/INDEX(Rents,(A14+1),8),"")</f>
        <v/>
      </c>
      <c r="R14" s="171" t="s">
        <v>74</v>
      </c>
    </row>
    <row r="15" spans="1:24" ht="13.15" customHeight="1" outlineLevel="1">
      <c r="A15" s="251" t="str">
        <f>A13</f>
        <v>1</v>
      </c>
      <c r="B15" s="37"/>
      <c r="C15" s="19"/>
      <c r="D15" s="250">
        <v>0.4</v>
      </c>
      <c r="E15" s="19"/>
      <c r="F15" s="19"/>
      <c r="G15" s="19"/>
      <c r="H15" s="216">
        <f t="shared" ref="H15:H20" si="11">C15*G15</f>
        <v>0</v>
      </c>
      <c r="I15" s="216">
        <f t="shared" ref="I15:I20" si="12">H15*12</f>
        <v>0</v>
      </c>
      <c r="J15" s="216">
        <f t="shared" si="8"/>
        <v>0</v>
      </c>
      <c r="K15" s="242" t="str">
        <f t="shared" si="9"/>
        <v>-</v>
      </c>
      <c r="L15" s="242" t="str" cm="1">
        <f t="array" ref="L15">IF(G15=0,"-",(INDEX(Rents,A15+1,((D15*100)-10)/10)))</f>
        <v>-</v>
      </c>
      <c r="M15" s="243">
        <f t="shared" ref="M15:M19" si="13">IF(K15="-",0,IF(K15&gt;L15,1,0))</f>
        <v>0</v>
      </c>
      <c r="N15" s="242" t="str">
        <f t="shared" ref="N15:N16" si="14">IF(G15=0,"-",$D$80)</f>
        <v>-</v>
      </c>
      <c r="O15" s="243">
        <f t="shared" ref="O15:O19" si="15">IF(K15="-",0,IF(K15&gt;N15,1,0))</f>
        <v>0</v>
      </c>
      <c r="P15" s="244">
        <f t="shared" si="10"/>
        <v>0</v>
      </c>
      <c r="Q15" s="241" t="str" cm="1">
        <f t="array" ref="Q15">IFERROR(K15/INDEX(Rents,(A15+1),8),"")</f>
        <v/>
      </c>
      <c r="R15" s="171" t="s">
        <v>74</v>
      </c>
    </row>
    <row r="16" spans="1:24" ht="13.15" customHeight="1" outlineLevel="1">
      <c r="A16" s="251" t="str">
        <f>A13</f>
        <v>1</v>
      </c>
      <c r="B16" s="37"/>
      <c r="C16" s="19"/>
      <c r="D16" s="250">
        <v>0.5</v>
      </c>
      <c r="E16" s="19"/>
      <c r="F16" s="19"/>
      <c r="G16" s="19"/>
      <c r="H16" s="216">
        <f t="shared" si="11"/>
        <v>0</v>
      </c>
      <c r="I16" s="216">
        <f t="shared" si="12"/>
        <v>0</v>
      </c>
      <c r="J16" s="216">
        <f t="shared" si="8"/>
        <v>0</v>
      </c>
      <c r="K16" s="242" t="str">
        <f t="shared" si="9"/>
        <v>-</v>
      </c>
      <c r="L16" s="242" t="str" cm="1">
        <f t="array" ref="L16">IF(G16=0,"-",(INDEX(Rents,A16+1,((D16*100)-10)/10)))</f>
        <v>-</v>
      </c>
      <c r="M16" s="243">
        <f t="shared" si="13"/>
        <v>0</v>
      </c>
      <c r="N16" s="242" t="str">
        <f t="shared" si="14"/>
        <v>-</v>
      </c>
      <c r="O16" s="243">
        <f t="shared" si="15"/>
        <v>0</v>
      </c>
      <c r="P16" s="244">
        <f t="shared" si="10"/>
        <v>0</v>
      </c>
      <c r="Q16" s="241" t="str" cm="1">
        <f t="array" ref="Q16">IFERROR(K16/INDEX(Rents,(A16+1),8),"")</f>
        <v/>
      </c>
      <c r="R16" s="171" t="s">
        <v>74</v>
      </c>
    </row>
    <row r="17" spans="1:24" ht="13.15" customHeight="1" outlineLevel="1">
      <c r="A17" s="251" t="str">
        <f>A13</f>
        <v>1</v>
      </c>
      <c r="B17" s="37"/>
      <c r="C17" s="19"/>
      <c r="D17" s="250">
        <v>0.6</v>
      </c>
      <c r="E17" s="19"/>
      <c r="F17" s="19"/>
      <c r="G17" s="19"/>
      <c r="H17" s="216">
        <f t="shared" si="11"/>
        <v>0</v>
      </c>
      <c r="I17" s="216">
        <f t="shared" si="12"/>
        <v>0</v>
      </c>
      <c r="J17" s="216">
        <f t="shared" si="8"/>
        <v>0</v>
      </c>
      <c r="K17" s="242" t="str">
        <f t="shared" si="9"/>
        <v>-</v>
      </c>
      <c r="L17" s="242" t="str" cm="1">
        <f t="array" ref="L17">IF(G17=0,"-",(INDEX(Rents,A17+1,((D17*100)-10)/10)))</f>
        <v>-</v>
      </c>
      <c r="M17" s="243">
        <f t="shared" si="13"/>
        <v>0</v>
      </c>
      <c r="N17" s="242" t="str">
        <f>IF(G17=0,"-",$E$80)</f>
        <v>-</v>
      </c>
      <c r="O17" s="243">
        <f t="shared" si="15"/>
        <v>0</v>
      </c>
      <c r="P17" s="244">
        <f t="shared" si="10"/>
        <v>0</v>
      </c>
      <c r="Q17" s="241" t="str" cm="1">
        <f t="array" ref="Q17">IFERROR(K17/INDEX(Rents,(A17+1),8),"")</f>
        <v/>
      </c>
      <c r="R17" s="171" t="s">
        <v>75</v>
      </c>
    </row>
    <row r="18" spans="1:24" ht="13.15" customHeight="1" outlineLevel="1">
      <c r="A18" s="251" t="str">
        <f>A13</f>
        <v>1</v>
      </c>
      <c r="B18" s="37"/>
      <c r="C18" s="19"/>
      <c r="D18" s="250">
        <v>0.7</v>
      </c>
      <c r="E18" s="19"/>
      <c r="F18" s="19"/>
      <c r="G18" s="19"/>
      <c r="H18" s="216">
        <f t="shared" si="11"/>
        <v>0</v>
      </c>
      <c r="I18" s="216">
        <f t="shared" si="12"/>
        <v>0</v>
      </c>
      <c r="J18" s="216">
        <f t="shared" si="8"/>
        <v>0</v>
      </c>
      <c r="K18" s="242" t="str">
        <f t="shared" si="9"/>
        <v>-</v>
      </c>
      <c r="L18" s="242" t="str" cm="1">
        <f t="array" ref="L18">IF(G18=0,"-",(INDEX(Rents,A18+1,((D18*100)-10)/10)))</f>
        <v>-</v>
      </c>
      <c r="M18" s="243">
        <f t="shared" si="13"/>
        <v>0</v>
      </c>
      <c r="N18" s="242" t="str">
        <f t="shared" ref="N18:N19" si="16">IF(G18=0,"-",$E$80)</f>
        <v>-</v>
      </c>
      <c r="O18" s="243">
        <f t="shared" si="15"/>
        <v>0</v>
      </c>
      <c r="P18" s="244">
        <f t="shared" si="10"/>
        <v>0</v>
      </c>
      <c r="Q18" s="241" t="str" cm="1">
        <f t="array" ref="Q18">IFERROR(K18/INDEX(Rents,(A18+1),8),"")</f>
        <v/>
      </c>
      <c r="R18" s="171" t="s">
        <v>75</v>
      </c>
    </row>
    <row r="19" spans="1:24" ht="13.15" customHeight="1" outlineLevel="1">
      <c r="A19" s="251" t="str">
        <f>A13</f>
        <v>1</v>
      </c>
      <c r="B19" s="37"/>
      <c r="C19" s="19"/>
      <c r="D19" s="250">
        <v>0.8</v>
      </c>
      <c r="E19" s="19"/>
      <c r="F19" s="19"/>
      <c r="G19" s="19"/>
      <c r="H19" s="216">
        <f t="shared" si="11"/>
        <v>0</v>
      </c>
      <c r="I19" s="216">
        <f t="shared" si="12"/>
        <v>0</v>
      </c>
      <c r="J19" s="216">
        <f t="shared" si="8"/>
        <v>0</v>
      </c>
      <c r="K19" s="242" t="str">
        <f t="shared" si="9"/>
        <v>-</v>
      </c>
      <c r="L19" s="242" t="str" cm="1">
        <f t="array" ref="L19">IF(G19=0,"-",(INDEX(Rents,A19+1,((D19*100)-10)/10)))</f>
        <v>-</v>
      </c>
      <c r="M19" s="243">
        <f t="shared" si="13"/>
        <v>0</v>
      </c>
      <c r="N19" s="242" t="str">
        <f t="shared" si="16"/>
        <v>-</v>
      </c>
      <c r="O19" s="243">
        <f t="shared" si="15"/>
        <v>0</v>
      </c>
      <c r="P19" s="244">
        <f t="shared" si="10"/>
        <v>0</v>
      </c>
      <c r="Q19" s="241" t="str" cm="1">
        <f t="array" ref="Q19">IFERROR(K19/INDEX(Rents,(A19+1),8),"")</f>
        <v/>
      </c>
      <c r="R19" s="171" t="s">
        <v>75</v>
      </c>
    </row>
    <row r="20" spans="1:24" ht="13.15" customHeight="1" outlineLevel="1">
      <c r="A20" s="251" t="str">
        <f>A13</f>
        <v>1</v>
      </c>
      <c r="B20" s="64"/>
      <c r="C20" s="17"/>
      <c r="D20" s="231" t="s">
        <v>76</v>
      </c>
      <c r="E20" s="17"/>
      <c r="F20" s="17"/>
      <c r="G20" s="17"/>
      <c r="H20" s="245">
        <f t="shared" si="11"/>
        <v>0</v>
      </c>
      <c r="I20" s="245">
        <f t="shared" si="12"/>
        <v>0</v>
      </c>
      <c r="J20" s="245">
        <f t="shared" si="8"/>
        <v>0</v>
      </c>
      <c r="K20" s="246" t="str">
        <f t="shared" ref="K20" si="17">IF(G20=0,"",G20+J20)</f>
        <v/>
      </c>
      <c r="L20" s="246" t="s">
        <v>77</v>
      </c>
      <c r="M20" s="246"/>
      <c r="N20" s="246" t="s">
        <v>77</v>
      </c>
      <c r="O20" s="247"/>
      <c r="P20" s="248">
        <f t="shared" si="10"/>
        <v>0</v>
      </c>
      <c r="R20" s="171"/>
    </row>
    <row r="21" spans="1:24" s="37" customFormat="1" ht="13.15" customHeight="1" outlineLevel="1">
      <c r="A21" s="251"/>
      <c r="B21" s="37" t="s">
        <v>78</v>
      </c>
      <c r="C21" s="43">
        <f>SUM(C14:C20)</f>
        <v>0</v>
      </c>
      <c r="D21" s="43"/>
      <c r="E21" s="43"/>
      <c r="F21" s="43"/>
      <c r="H21" s="216">
        <f>SUM(H14:H20)</f>
        <v>0</v>
      </c>
      <c r="I21" s="216">
        <f>SUM(I14:I20)</f>
        <v>0</v>
      </c>
      <c r="J21" s="217"/>
      <c r="K21" s="217"/>
      <c r="L21" s="217"/>
      <c r="M21" s="217"/>
      <c r="N21" s="217"/>
      <c r="O21" s="218"/>
      <c r="P21" s="216">
        <f>SUM(P14:P20)</f>
        <v>0</v>
      </c>
      <c r="Q21" s="38"/>
      <c r="R21" s="171"/>
      <c r="S21" s="38"/>
      <c r="T21" s="38"/>
      <c r="U21" s="38"/>
      <c r="V21" s="38"/>
      <c r="W21" s="38"/>
      <c r="X21" s="38"/>
    </row>
    <row r="22" spans="1:24" s="37" customFormat="1" ht="13.15" customHeight="1">
      <c r="A22" s="251"/>
      <c r="C22" s="43"/>
      <c r="D22" s="43"/>
      <c r="E22" s="43"/>
      <c r="F22" s="43"/>
      <c r="K22" s="255"/>
      <c r="L22" s="255"/>
      <c r="M22" s="255"/>
      <c r="N22" s="255"/>
      <c r="O22" s="156"/>
      <c r="Q22" s="38"/>
      <c r="R22" s="171"/>
      <c r="S22" s="38"/>
      <c r="T22" s="38"/>
      <c r="U22" s="38"/>
      <c r="V22" s="38"/>
      <c r="W22" s="38"/>
      <c r="X22" s="38"/>
    </row>
    <row r="23" spans="1:24" s="37" customFormat="1" ht="13.15" customHeight="1" outlineLevel="1">
      <c r="A23" s="251" t="str">
        <f>LEFT(B23,1)</f>
        <v>2</v>
      </c>
      <c r="B23" s="252" t="s">
        <v>80</v>
      </c>
      <c r="C23" s="43" t="s">
        <v>61</v>
      </c>
      <c r="D23" s="253" t="s">
        <v>62</v>
      </c>
      <c r="E23" s="43" t="s">
        <v>63</v>
      </c>
      <c r="F23" s="43" t="s">
        <v>64</v>
      </c>
      <c r="G23" s="43" t="s">
        <v>65</v>
      </c>
      <c r="H23" s="253" t="s">
        <v>66</v>
      </c>
      <c r="I23" s="253" t="s">
        <v>67</v>
      </c>
      <c r="J23" s="253" t="s">
        <v>68</v>
      </c>
      <c r="K23" s="253" t="s">
        <v>69</v>
      </c>
      <c r="L23" s="253" t="s">
        <v>70</v>
      </c>
      <c r="M23" s="253"/>
      <c r="N23" s="253" t="s">
        <v>71</v>
      </c>
      <c r="O23" s="156"/>
      <c r="P23" s="253" t="s">
        <v>72</v>
      </c>
      <c r="Q23" s="38" t="s">
        <v>73</v>
      </c>
      <c r="R23" s="171"/>
      <c r="S23" s="38"/>
      <c r="T23" s="38"/>
      <c r="U23" s="38"/>
      <c r="V23" s="38"/>
      <c r="W23" s="38"/>
      <c r="X23" s="38"/>
    </row>
    <row r="24" spans="1:24" ht="13.15" customHeight="1" outlineLevel="1">
      <c r="A24" s="251" t="str">
        <f>A23</f>
        <v>2</v>
      </c>
      <c r="B24" s="60"/>
      <c r="C24" s="18"/>
      <c r="D24" s="249">
        <v>0.3</v>
      </c>
      <c r="E24" s="18"/>
      <c r="F24" s="18"/>
      <c r="G24" s="18"/>
      <c r="H24" s="237">
        <f>C24*G24</f>
        <v>0</v>
      </c>
      <c r="I24" s="237">
        <f>H24*12</f>
        <v>0</v>
      </c>
      <c r="J24" s="237">
        <f t="shared" ref="J24:J30" si="18">UA2B</f>
        <v>0</v>
      </c>
      <c r="K24" s="238" t="str">
        <f t="shared" ref="K24:K30" si="19">IF(G24=0,"-",G24+J24)</f>
        <v>-</v>
      </c>
      <c r="L24" s="238">
        <f>D89</f>
        <v>661</v>
      </c>
      <c r="M24" s="239">
        <f>IF(K24="-",0,IF(K24&gt;L24,1,0))</f>
        <v>0</v>
      </c>
      <c r="N24" s="238" t="str">
        <f>IF(G24=0,"-",$D$81)</f>
        <v>-</v>
      </c>
      <c r="O24" s="239">
        <f>IF(K24="-",0,IF(K24&gt;N24,1,0))</f>
        <v>0</v>
      </c>
      <c r="P24" s="240">
        <f t="shared" ref="P24:P30" si="20">F24*C24</f>
        <v>0</v>
      </c>
      <c r="Q24" s="241" t="str" cm="1">
        <f t="array" ref="Q24">IFERROR(K24/INDEX(Rents,(A24+1),8),"")</f>
        <v/>
      </c>
      <c r="R24" s="171" t="s">
        <v>74</v>
      </c>
    </row>
    <row r="25" spans="1:24" ht="13.15" customHeight="1" outlineLevel="1">
      <c r="A25" s="251" t="str">
        <f>A23</f>
        <v>2</v>
      </c>
      <c r="B25" s="37"/>
      <c r="C25" s="19"/>
      <c r="D25" s="250">
        <v>0.4</v>
      </c>
      <c r="E25" s="19"/>
      <c r="F25" s="19"/>
      <c r="G25" s="19"/>
      <c r="H25" s="216">
        <f t="shared" ref="H25:H30" si="21">C25*G25</f>
        <v>0</v>
      </c>
      <c r="I25" s="216">
        <f t="shared" ref="I25:I30" si="22">H25*12</f>
        <v>0</v>
      </c>
      <c r="J25" s="216">
        <f t="shared" si="18"/>
        <v>0</v>
      </c>
      <c r="K25" s="242" t="str">
        <f t="shared" si="19"/>
        <v>-</v>
      </c>
      <c r="L25" s="242">
        <f>E89</f>
        <v>882</v>
      </c>
      <c r="M25" s="243">
        <f t="shared" ref="M25:M29" si="23">IF(K25="-",0,IF(K25&gt;L25,1,0))</f>
        <v>0</v>
      </c>
      <c r="N25" s="242" t="str">
        <f t="shared" ref="N25:N26" si="24">IF(G25=0,"-",$D$81)</f>
        <v>-</v>
      </c>
      <c r="O25" s="243">
        <f t="shared" ref="O25:O29" si="25">IF(K25="-",0,IF(K25&gt;N25,1,0))</f>
        <v>0</v>
      </c>
      <c r="P25" s="244">
        <f t="shared" si="20"/>
        <v>0</v>
      </c>
      <c r="Q25" s="241" t="str" cm="1">
        <f t="array" ref="Q25">IFERROR(K25/INDEX(Rents,(A25+1),8),"")</f>
        <v/>
      </c>
      <c r="R25" s="171" t="s">
        <v>74</v>
      </c>
    </row>
    <row r="26" spans="1:24" ht="13.15" customHeight="1" outlineLevel="1">
      <c r="A26" s="251" t="str">
        <f>A23</f>
        <v>2</v>
      </c>
      <c r="B26" s="37"/>
      <c r="C26" s="19"/>
      <c r="D26" s="250">
        <v>0.5</v>
      </c>
      <c r="E26" s="19"/>
      <c r="F26" s="19"/>
      <c r="G26" s="19"/>
      <c r="H26" s="216">
        <f t="shared" si="21"/>
        <v>0</v>
      </c>
      <c r="I26" s="216">
        <f t="shared" si="22"/>
        <v>0</v>
      </c>
      <c r="J26" s="216">
        <f t="shared" si="18"/>
        <v>0</v>
      </c>
      <c r="K26" s="242" t="str">
        <f t="shared" si="19"/>
        <v>-</v>
      </c>
      <c r="L26" s="242">
        <f>F89</f>
        <v>1102</v>
      </c>
      <c r="M26" s="243">
        <f t="shared" si="23"/>
        <v>0</v>
      </c>
      <c r="N26" s="242" t="str">
        <f t="shared" si="24"/>
        <v>-</v>
      </c>
      <c r="O26" s="243">
        <f t="shared" si="25"/>
        <v>0</v>
      </c>
      <c r="P26" s="244">
        <f t="shared" si="20"/>
        <v>0</v>
      </c>
      <c r="Q26" s="241" t="str" cm="1">
        <f t="array" ref="Q26">IFERROR(K26/INDEX(Rents,(A26+1),8),"")</f>
        <v/>
      </c>
      <c r="R26" s="171" t="s">
        <v>74</v>
      </c>
    </row>
    <row r="27" spans="1:24" ht="13.15" customHeight="1" outlineLevel="1">
      <c r="A27" s="251" t="str">
        <f>A23</f>
        <v>2</v>
      </c>
      <c r="B27" s="37"/>
      <c r="C27" s="19"/>
      <c r="D27" s="250">
        <v>0.6</v>
      </c>
      <c r="E27" s="19"/>
      <c r="F27" s="19"/>
      <c r="G27" s="19"/>
      <c r="H27" s="216">
        <f t="shared" si="21"/>
        <v>0</v>
      </c>
      <c r="I27" s="216">
        <f t="shared" si="22"/>
        <v>0</v>
      </c>
      <c r="J27" s="216">
        <f t="shared" si="18"/>
        <v>0</v>
      </c>
      <c r="K27" s="242" t="str">
        <f t="shared" si="19"/>
        <v>-</v>
      </c>
      <c r="L27" s="242">
        <f>G89</f>
        <v>1323</v>
      </c>
      <c r="M27" s="243">
        <f t="shared" si="23"/>
        <v>0</v>
      </c>
      <c r="N27" s="242" t="str">
        <f>IF(G27=0,"-",$E$81)</f>
        <v>-</v>
      </c>
      <c r="O27" s="243">
        <f t="shared" si="25"/>
        <v>0</v>
      </c>
      <c r="P27" s="244">
        <f t="shared" si="20"/>
        <v>0</v>
      </c>
      <c r="Q27" s="241" t="str" cm="1">
        <f t="array" ref="Q27">IFERROR(K27/INDEX(Rents,(A27+1),8),"")</f>
        <v/>
      </c>
      <c r="R27" s="171" t="s">
        <v>75</v>
      </c>
    </row>
    <row r="28" spans="1:24" ht="13.15" customHeight="1" outlineLevel="1">
      <c r="A28" s="251" t="str">
        <f>A23</f>
        <v>2</v>
      </c>
      <c r="B28" s="37"/>
      <c r="C28" s="19"/>
      <c r="D28" s="250">
        <v>0.7</v>
      </c>
      <c r="E28" s="19"/>
      <c r="F28" s="19"/>
      <c r="G28" s="19"/>
      <c r="H28" s="216">
        <f t="shared" si="21"/>
        <v>0</v>
      </c>
      <c r="I28" s="216">
        <f t="shared" si="22"/>
        <v>0</v>
      </c>
      <c r="J28" s="216">
        <f t="shared" si="18"/>
        <v>0</v>
      </c>
      <c r="K28" s="242" t="str">
        <f t="shared" si="19"/>
        <v>-</v>
      </c>
      <c r="L28" s="242">
        <f>H89</f>
        <v>1543</v>
      </c>
      <c r="M28" s="243">
        <f t="shared" si="23"/>
        <v>0</v>
      </c>
      <c r="N28" s="242" t="str">
        <f t="shared" ref="N28:N29" si="26">IF(G28=0,"-",$E$81)</f>
        <v>-</v>
      </c>
      <c r="O28" s="243">
        <f t="shared" si="25"/>
        <v>0</v>
      </c>
      <c r="P28" s="244">
        <f t="shared" si="20"/>
        <v>0</v>
      </c>
      <c r="Q28" s="241" t="str" cm="1">
        <f t="array" ref="Q28">IFERROR(K28/INDEX(Rents,(A28+1),8),"")</f>
        <v/>
      </c>
      <c r="R28" s="171" t="s">
        <v>75</v>
      </c>
    </row>
    <row r="29" spans="1:24" ht="13.15" customHeight="1" outlineLevel="1">
      <c r="A29" s="251" t="str">
        <f>A23</f>
        <v>2</v>
      </c>
      <c r="B29" s="37"/>
      <c r="C29" s="19"/>
      <c r="D29" s="250">
        <v>0.8</v>
      </c>
      <c r="E29" s="19"/>
      <c r="F29" s="19"/>
      <c r="G29" s="19"/>
      <c r="H29" s="216">
        <f t="shared" si="21"/>
        <v>0</v>
      </c>
      <c r="I29" s="216">
        <f t="shared" si="22"/>
        <v>0</v>
      </c>
      <c r="J29" s="216">
        <f t="shared" si="18"/>
        <v>0</v>
      </c>
      <c r="K29" s="242" t="str">
        <f t="shared" si="19"/>
        <v>-</v>
      </c>
      <c r="L29" s="242">
        <f>I89</f>
        <v>1764</v>
      </c>
      <c r="M29" s="243">
        <f t="shared" si="23"/>
        <v>0</v>
      </c>
      <c r="N29" s="242" t="str">
        <f t="shared" si="26"/>
        <v>-</v>
      </c>
      <c r="O29" s="243">
        <f t="shared" si="25"/>
        <v>0</v>
      </c>
      <c r="P29" s="244">
        <f t="shared" si="20"/>
        <v>0</v>
      </c>
      <c r="Q29" s="241" t="str" cm="1">
        <f t="array" ref="Q29">IFERROR(K29/INDEX(Rents,(A29+1),8),"")</f>
        <v/>
      </c>
      <c r="R29" s="171" t="s">
        <v>75</v>
      </c>
    </row>
    <row r="30" spans="1:24" ht="13.15" customHeight="1" outlineLevel="1">
      <c r="A30" s="251" t="str">
        <f>A23</f>
        <v>2</v>
      </c>
      <c r="B30" s="64"/>
      <c r="C30" s="17"/>
      <c r="D30" s="231" t="s">
        <v>76</v>
      </c>
      <c r="E30" s="17"/>
      <c r="F30" s="17"/>
      <c r="G30" s="17"/>
      <c r="H30" s="245">
        <f t="shared" si="21"/>
        <v>0</v>
      </c>
      <c r="I30" s="245">
        <f t="shared" si="22"/>
        <v>0</v>
      </c>
      <c r="J30" s="245">
        <f t="shared" si="18"/>
        <v>0</v>
      </c>
      <c r="K30" s="246" t="str">
        <f t="shared" si="19"/>
        <v>-</v>
      </c>
      <c r="L30" s="246" t="s">
        <v>77</v>
      </c>
      <c r="M30" s="246"/>
      <c r="N30" s="246" t="s">
        <v>77</v>
      </c>
      <c r="O30" s="247"/>
      <c r="P30" s="248">
        <f t="shared" si="20"/>
        <v>0</v>
      </c>
      <c r="R30" s="171"/>
    </row>
    <row r="31" spans="1:24" ht="13.15" customHeight="1" outlineLevel="1">
      <c r="A31" s="251"/>
      <c r="B31" s="37" t="s">
        <v>78</v>
      </c>
      <c r="C31" s="43">
        <f>SUM(C24:C30)</f>
        <v>0</v>
      </c>
      <c r="D31" s="43"/>
      <c r="E31" s="43"/>
      <c r="F31" s="43"/>
      <c r="G31" s="37"/>
      <c r="H31" s="216">
        <f>SUM(H24:H30)</f>
        <v>0</v>
      </c>
      <c r="I31" s="216">
        <f>SUM(I24:I30)</f>
        <v>0</v>
      </c>
      <c r="J31" s="217"/>
      <c r="K31" s="217"/>
      <c r="L31" s="217"/>
      <c r="M31" s="217"/>
      <c r="N31" s="217"/>
      <c r="O31" s="218"/>
      <c r="P31" s="216">
        <f>SUM(P24:P30)</f>
        <v>0</v>
      </c>
      <c r="R31" s="171"/>
    </row>
    <row r="32" spans="1:24" ht="13.15" customHeight="1">
      <c r="A32" s="251"/>
      <c r="B32" s="37"/>
      <c r="C32" s="43"/>
      <c r="D32" s="43"/>
      <c r="E32" s="43"/>
      <c r="F32" s="43"/>
      <c r="G32" s="37"/>
      <c r="H32" s="37"/>
      <c r="I32" s="37"/>
      <c r="J32" s="37"/>
      <c r="K32" s="37"/>
      <c r="L32" s="37"/>
      <c r="M32" s="37"/>
      <c r="N32" s="37"/>
      <c r="P32" s="37"/>
      <c r="R32" s="171"/>
    </row>
    <row r="33" spans="1:18" ht="13.15" customHeight="1" outlineLevel="1">
      <c r="A33" s="251" t="str">
        <f>LEFT(B33,1)</f>
        <v>3</v>
      </c>
      <c r="B33" s="252" t="s">
        <v>81</v>
      </c>
      <c r="C33" s="254"/>
      <c r="D33" s="253" t="s">
        <v>62</v>
      </c>
      <c r="E33" s="43" t="s">
        <v>63</v>
      </c>
      <c r="F33" s="43" t="s">
        <v>64</v>
      </c>
      <c r="G33" s="43" t="s">
        <v>65</v>
      </c>
      <c r="H33" s="253" t="s">
        <v>66</v>
      </c>
      <c r="I33" s="253" t="s">
        <v>67</v>
      </c>
      <c r="J33" s="253" t="s">
        <v>68</v>
      </c>
      <c r="K33" s="253" t="s">
        <v>69</v>
      </c>
      <c r="L33" s="253" t="s">
        <v>70</v>
      </c>
      <c r="M33" s="253"/>
      <c r="N33" s="253" t="s">
        <v>71</v>
      </c>
      <c r="P33" s="253" t="s">
        <v>72</v>
      </c>
      <c r="Q33" s="38" t="s">
        <v>73</v>
      </c>
      <c r="R33" s="171"/>
    </row>
    <row r="34" spans="1:18" ht="13.15" customHeight="1" outlineLevel="1">
      <c r="A34" s="251" t="str">
        <f>A33</f>
        <v>3</v>
      </c>
      <c r="B34" s="60"/>
      <c r="C34" s="18"/>
      <c r="D34" s="249">
        <v>0.3</v>
      </c>
      <c r="E34" s="18"/>
      <c r="F34" s="18"/>
      <c r="G34" s="18"/>
      <c r="H34" s="237">
        <f>C34*G34</f>
        <v>0</v>
      </c>
      <c r="I34" s="237">
        <f>H34*12</f>
        <v>0</v>
      </c>
      <c r="J34" s="237">
        <f t="shared" ref="J34:J40" si="27">UA3B</f>
        <v>0</v>
      </c>
      <c r="K34" s="238" t="str">
        <f t="shared" ref="K34:K40" si="28">IF(G34=0,"-",G34+J34)</f>
        <v>-</v>
      </c>
      <c r="L34" s="238">
        <f>D90</f>
        <v>764</v>
      </c>
      <c r="M34" s="239">
        <f>IF(K34="-",0,IF(K34&gt;L34,1,0))</f>
        <v>0</v>
      </c>
      <c r="N34" s="238" t="str">
        <f>IF(G34=0,"-",$D$82)</f>
        <v>-</v>
      </c>
      <c r="O34" s="239">
        <f>IF(K34="-",0,IF(K34&gt;N34,1,0))</f>
        <v>0</v>
      </c>
      <c r="P34" s="240">
        <f t="shared" ref="P34:P40" si="29">F34*C34</f>
        <v>0</v>
      </c>
      <c r="Q34" s="241" t="str" cm="1">
        <f t="array" ref="Q34">IFERROR(K34/INDEX(Rents,(A34+1),8),"")</f>
        <v/>
      </c>
      <c r="R34" s="171" t="s">
        <v>74</v>
      </c>
    </row>
    <row r="35" spans="1:18" ht="13.15" customHeight="1" outlineLevel="1">
      <c r="A35" s="251" t="str">
        <f>A33</f>
        <v>3</v>
      </c>
      <c r="B35" s="37"/>
      <c r="C35" s="19"/>
      <c r="D35" s="250">
        <v>0.4</v>
      </c>
      <c r="E35" s="19"/>
      <c r="F35" s="19"/>
      <c r="G35" s="19"/>
      <c r="H35" s="216">
        <f t="shared" ref="H35:H40" si="30">C35*G35</f>
        <v>0</v>
      </c>
      <c r="I35" s="216">
        <f t="shared" ref="I35:I40" si="31">H35*12</f>
        <v>0</v>
      </c>
      <c r="J35" s="216">
        <f t="shared" si="27"/>
        <v>0</v>
      </c>
      <c r="K35" s="242" t="str">
        <f t="shared" si="28"/>
        <v>-</v>
      </c>
      <c r="L35" s="242">
        <f>E90</f>
        <v>1019</v>
      </c>
      <c r="M35" s="243">
        <f t="shared" ref="M35:M39" si="32">IF(K35="-",0,IF(K35&gt;L35,1,0))</f>
        <v>0</v>
      </c>
      <c r="N35" s="242" t="str">
        <f t="shared" ref="N35:N36" si="33">IF(G35=0,"-",$D$82)</f>
        <v>-</v>
      </c>
      <c r="O35" s="243">
        <f t="shared" ref="O35:O39" si="34">IF(K35="-",0,IF(K35&gt;N35,1,0))</f>
        <v>0</v>
      </c>
      <c r="P35" s="244">
        <f t="shared" si="29"/>
        <v>0</v>
      </c>
      <c r="Q35" s="241" t="str" cm="1">
        <f t="array" ref="Q35">IFERROR(K35/INDEX(Rents,(A35+1),8),"")</f>
        <v/>
      </c>
      <c r="R35" s="171" t="s">
        <v>74</v>
      </c>
    </row>
    <row r="36" spans="1:18" ht="13.15" customHeight="1" outlineLevel="1">
      <c r="A36" s="251" t="str">
        <f>A33</f>
        <v>3</v>
      </c>
      <c r="B36" s="37"/>
      <c r="C36" s="19"/>
      <c r="D36" s="250">
        <v>0.5</v>
      </c>
      <c r="E36" s="19"/>
      <c r="F36" s="19"/>
      <c r="G36" s="19"/>
      <c r="H36" s="216">
        <f t="shared" si="30"/>
        <v>0</v>
      </c>
      <c r="I36" s="216">
        <f t="shared" si="31"/>
        <v>0</v>
      </c>
      <c r="J36" s="216">
        <f t="shared" si="27"/>
        <v>0</v>
      </c>
      <c r="K36" s="242" t="str">
        <f t="shared" si="28"/>
        <v>-</v>
      </c>
      <c r="L36" s="242">
        <f>F90</f>
        <v>1274</v>
      </c>
      <c r="M36" s="243">
        <f t="shared" si="32"/>
        <v>0</v>
      </c>
      <c r="N36" s="242" t="str">
        <f t="shared" si="33"/>
        <v>-</v>
      </c>
      <c r="O36" s="243">
        <f t="shared" si="34"/>
        <v>0</v>
      </c>
      <c r="P36" s="244">
        <f t="shared" si="29"/>
        <v>0</v>
      </c>
      <c r="Q36" s="241" t="str" cm="1">
        <f t="array" ref="Q36">IFERROR(K36/INDEX(Rents,(A36+1),8),"")</f>
        <v/>
      </c>
      <c r="R36" s="171" t="s">
        <v>74</v>
      </c>
    </row>
    <row r="37" spans="1:18" ht="13.15" customHeight="1" outlineLevel="1">
      <c r="A37" s="251" t="str">
        <f>A33</f>
        <v>3</v>
      </c>
      <c r="B37" s="37"/>
      <c r="C37" s="19"/>
      <c r="D37" s="250">
        <v>0.6</v>
      </c>
      <c r="E37" s="19"/>
      <c r="F37" s="19"/>
      <c r="G37" s="19"/>
      <c r="H37" s="216">
        <f t="shared" si="30"/>
        <v>0</v>
      </c>
      <c r="I37" s="216">
        <f t="shared" si="31"/>
        <v>0</v>
      </c>
      <c r="J37" s="216">
        <f t="shared" si="27"/>
        <v>0</v>
      </c>
      <c r="K37" s="242" t="str">
        <f t="shared" si="28"/>
        <v>-</v>
      </c>
      <c r="L37" s="242">
        <f>G90</f>
        <v>1529</v>
      </c>
      <c r="M37" s="243">
        <f t="shared" si="32"/>
        <v>0</v>
      </c>
      <c r="N37" s="242" t="str">
        <f>IF(G37=0,"-",$E$82)</f>
        <v>-</v>
      </c>
      <c r="O37" s="243">
        <f t="shared" si="34"/>
        <v>0</v>
      </c>
      <c r="P37" s="244">
        <f t="shared" si="29"/>
        <v>0</v>
      </c>
      <c r="Q37" s="241" t="str" cm="1">
        <f t="array" ref="Q37">IFERROR(K37/INDEX(Rents,(A37+1),8),"")</f>
        <v/>
      </c>
      <c r="R37" s="171" t="s">
        <v>75</v>
      </c>
    </row>
    <row r="38" spans="1:18" ht="13.15" customHeight="1" outlineLevel="1">
      <c r="A38" s="251" t="str">
        <f>A33</f>
        <v>3</v>
      </c>
      <c r="B38" s="37"/>
      <c r="C38" s="19"/>
      <c r="D38" s="250">
        <v>0.7</v>
      </c>
      <c r="E38" s="19"/>
      <c r="F38" s="19"/>
      <c r="G38" s="19"/>
      <c r="H38" s="216">
        <f t="shared" si="30"/>
        <v>0</v>
      </c>
      <c r="I38" s="216">
        <f t="shared" si="31"/>
        <v>0</v>
      </c>
      <c r="J38" s="216">
        <f t="shared" si="27"/>
        <v>0</v>
      </c>
      <c r="K38" s="242" t="str">
        <f t="shared" si="28"/>
        <v>-</v>
      </c>
      <c r="L38" s="242">
        <f>H90</f>
        <v>1784</v>
      </c>
      <c r="M38" s="243">
        <f t="shared" si="32"/>
        <v>0</v>
      </c>
      <c r="N38" s="242" t="str">
        <f t="shared" ref="N38:N39" si="35">IF(G38=0,"-",$E$82)</f>
        <v>-</v>
      </c>
      <c r="O38" s="243">
        <f t="shared" si="34"/>
        <v>0</v>
      </c>
      <c r="P38" s="244">
        <f t="shared" si="29"/>
        <v>0</v>
      </c>
      <c r="Q38" s="241" t="str" cm="1">
        <f t="array" ref="Q38">IFERROR(K38/INDEX(Rents,(A38+1),8),"")</f>
        <v/>
      </c>
      <c r="R38" s="171" t="s">
        <v>75</v>
      </c>
    </row>
    <row r="39" spans="1:18" ht="13.15" customHeight="1" outlineLevel="1">
      <c r="A39" s="251" t="str">
        <f>A33</f>
        <v>3</v>
      </c>
      <c r="B39" s="37"/>
      <c r="C39" s="19"/>
      <c r="D39" s="250">
        <v>0.8</v>
      </c>
      <c r="E39" s="19"/>
      <c r="F39" s="19"/>
      <c r="G39" s="19"/>
      <c r="H39" s="216">
        <f t="shared" si="30"/>
        <v>0</v>
      </c>
      <c r="I39" s="216">
        <f t="shared" si="31"/>
        <v>0</v>
      </c>
      <c r="J39" s="216">
        <f t="shared" si="27"/>
        <v>0</v>
      </c>
      <c r="K39" s="242" t="str">
        <f t="shared" si="28"/>
        <v>-</v>
      </c>
      <c r="L39" s="242">
        <f>I90</f>
        <v>2039</v>
      </c>
      <c r="M39" s="243">
        <f t="shared" si="32"/>
        <v>0</v>
      </c>
      <c r="N39" s="242" t="str">
        <f t="shared" si="35"/>
        <v>-</v>
      </c>
      <c r="O39" s="243">
        <f t="shared" si="34"/>
        <v>0</v>
      </c>
      <c r="P39" s="244">
        <f t="shared" si="29"/>
        <v>0</v>
      </c>
      <c r="Q39" s="241" t="str" cm="1">
        <f t="array" ref="Q39">IFERROR(K39/INDEX(Rents,(A39+1),8),"")</f>
        <v/>
      </c>
      <c r="R39" s="171" t="s">
        <v>75</v>
      </c>
    </row>
    <row r="40" spans="1:18" ht="13.15" customHeight="1" outlineLevel="1">
      <c r="A40" s="251" t="str">
        <f>A33</f>
        <v>3</v>
      </c>
      <c r="B40" s="64"/>
      <c r="C40" s="17"/>
      <c r="D40" s="231" t="s">
        <v>76</v>
      </c>
      <c r="E40" s="17"/>
      <c r="F40" s="17"/>
      <c r="G40" s="17"/>
      <c r="H40" s="245">
        <f t="shared" si="30"/>
        <v>0</v>
      </c>
      <c r="I40" s="245">
        <f t="shared" si="31"/>
        <v>0</v>
      </c>
      <c r="J40" s="245">
        <f t="shared" si="27"/>
        <v>0</v>
      </c>
      <c r="K40" s="246" t="str">
        <f t="shared" si="28"/>
        <v>-</v>
      </c>
      <c r="L40" s="246" t="s">
        <v>77</v>
      </c>
      <c r="M40" s="246"/>
      <c r="N40" s="246" t="s">
        <v>77</v>
      </c>
      <c r="O40" s="247"/>
      <c r="P40" s="248">
        <f t="shared" si="29"/>
        <v>0</v>
      </c>
      <c r="R40" s="171"/>
    </row>
    <row r="41" spans="1:18" ht="13.15" customHeight="1" outlineLevel="1">
      <c r="A41" s="251"/>
      <c r="B41" s="37" t="s">
        <v>78</v>
      </c>
      <c r="C41" s="43">
        <f>SUM(C34:C40)</f>
        <v>0</v>
      </c>
      <c r="D41" s="43"/>
      <c r="E41" s="43"/>
      <c r="F41" s="43"/>
      <c r="G41" s="37"/>
      <c r="H41" s="216">
        <f>SUM(H34:H40)</f>
        <v>0</v>
      </c>
      <c r="I41" s="216">
        <f>SUM(I34:I40)</f>
        <v>0</v>
      </c>
      <c r="J41" s="217"/>
      <c r="K41" s="217"/>
      <c r="L41" s="217"/>
      <c r="M41" s="217"/>
      <c r="N41" s="217"/>
      <c r="O41" s="218"/>
      <c r="P41" s="216">
        <f>SUM(P34:P40)</f>
        <v>0</v>
      </c>
      <c r="R41" s="171"/>
    </row>
    <row r="42" spans="1:18" ht="13.15" customHeight="1">
      <c r="A42" s="251"/>
      <c r="B42" s="37"/>
      <c r="C42" s="43"/>
      <c r="D42" s="43"/>
      <c r="E42" s="43"/>
      <c r="F42" s="43"/>
      <c r="G42" s="37"/>
      <c r="H42" s="37"/>
      <c r="I42" s="37"/>
      <c r="J42" s="37"/>
      <c r="K42" s="37"/>
      <c r="L42" s="37"/>
      <c r="M42" s="37"/>
      <c r="N42" s="37"/>
      <c r="P42" s="37"/>
      <c r="R42" s="171"/>
    </row>
    <row r="43" spans="1:18" ht="13.15" customHeight="1" outlineLevel="1">
      <c r="A43" s="251" t="str">
        <f>LEFT(B43,1)</f>
        <v>4</v>
      </c>
      <c r="B43" s="252" t="s">
        <v>82</v>
      </c>
      <c r="C43" s="43" t="s">
        <v>61</v>
      </c>
      <c r="D43" s="253" t="s">
        <v>62</v>
      </c>
      <c r="E43" s="43" t="s">
        <v>63</v>
      </c>
      <c r="F43" s="43" t="s">
        <v>64</v>
      </c>
      <c r="G43" s="43" t="s">
        <v>65</v>
      </c>
      <c r="H43" s="253" t="s">
        <v>66</v>
      </c>
      <c r="I43" s="253" t="s">
        <v>67</v>
      </c>
      <c r="J43" s="253" t="s">
        <v>68</v>
      </c>
      <c r="K43" s="253" t="s">
        <v>69</v>
      </c>
      <c r="L43" s="253" t="s">
        <v>70</v>
      </c>
      <c r="M43" s="253"/>
      <c r="N43" s="253" t="s">
        <v>71</v>
      </c>
      <c r="P43" s="253" t="s">
        <v>72</v>
      </c>
      <c r="Q43" s="38" t="s">
        <v>73</v>
      </c>
      <c r="R43" s="171"/>
    </row>
    <row r="44" spans="1:18" ht="13.15" customHeight="1" outlineLevel="1">
      <c r="A44" s="251" t="str">
        <f>A43</f>
        <v>4</v>
      </c>
      <c r="B44" s="60"/>
      <c r="C44" s="18"/>
      <c r="D44" s="249">
        <v>0.3</v>
      </c>
      <c r="E44" s="18"/>
      <c r="F44" s="18"/>
      <c r="G44" s="18"/>
      <c r="H44" s="237">
        <f>C44*G44</f>
        <v>0</v>
      </c>
      <c r="I44" s="237">
        <f>H44*12</f>
        <v>0</v>
      </c>
      <c r="J44" s="237">
        <f t="shared" ref="J44:J50" si="36">UA4B</f>
        <v>0</v>
      </c>
      <c r="K44" s="238" t="str">
        <f t="shared" ref="K44" si="37">IF(G44=0,"-",G44+J44)</f>
        <v>-</v>
      </c>
      <c r="L44" s="238">
        <f>D91</f>
        <v>852</v>
      </c>
      <c r="M44" s="239">
        <f>IF(K44="-",0,IF(K44&gt;L44,1,0))</f>
        <v>0</v>
      </c>
      <c r="N44" s="238" t="str">
        <f>IF(G44=0,"-",$D$83)</f>
        <v>-</v>
      </c>
      <c r="O44" s="239">
        <f>IF(K44="-",0,IF(K44&gt;N44,1,0))</f>
        <v>0</v>
      </c>
      <c r="P44" s="240">
        <f t="shared" ref="P44:P50" si="38">F44*C44</f>
        <v>0</v>
      </c>
      <c r="Q44" s="241" t="str" cm="1">
        <f t="array" ref="Q44">IFERROR(K44/INDEX(Rents,(A44+1),8),"")</f>
        <v/>
      </c>
      <c r="R44" s="171" t="s">
        <v>74</v>
      </c>
    </row>
    <row r="45" spans="1:18" ht="13.15" customHeight="1" outlineLevel="1">
      <c r="A45" s="251" t="str">
        <f>A43</f>
        <v>4</v>
      </c>
      <c r="B45" s="37"/>
      <c r="C45" s="19"/>
      <c r="D45" s="250">
        <v>0.4</v>
      </c>
      <c r="E45" s="19"/>
      <c r="F45" s="19"/>
      <c r="G45" s="19"/>
      <c r="H45" s="216">
        <f t="shared" ref="H45:H50" si="39">C45*G45</f>
        <v>0</v>
      </c>
      <c r="I45" s="216">
        <f t="shared" ref="I45:I50" si="40">H45*12</f>
        <v>0</v>
      </c>
      <c r="J45" s="216">
        <f t="shared" si="36"/>
        <v>0</v>
      </c>
      <c r="K45" s="242" t="str">
        <f t="shared" ref="K45:K50" si="41">IF(G45=0,"-",G45+J45)</f>
        <v>-</v>
      </c>
      <c r="L45" s="242">
        <f>E90</f>
        <v>1019</v>
      </c>
      <c r="M45" s="243">
        <f t="shared" ref="M45:M49" si="42">IF(K45="-",0,IF(K45&gt;L45,1,0))</f>
        <v>0</v>
      </c>
      <c r="N45" s="242" t="str">
        <f t="shared" ref="N45:N46" si="43">IF(G45=0,"-",$D$83)</f>
        <v>-</v>
      </c>
      <c r="O45" s="243">
        <f t="shared" ref="O45:O49" si="44">IF(K45="-",0,IF(K45&gt;N45,1,0))</f>
        <v>0</v>
      </c>
      <c r="P45" s="244">
        <f t="shared" si="38"/>
        <v>0</v>
      </c>
      <c r="Q45" s="241" t="str" cm="1">
        <f t="array" ref="Q45">IFERROR(K45/INDEX(Rents,(A45+1),8),"")</f>
        <v/>
      </c>
      <c r="R45" s="171" t="s">
        <v>74</v>
      </c>
    </row>
    <row r="46" spans="1:18" ht="13.15" customHeight="1" outlineLevel="1">
      <c r="A46" s="251" t="str">
        <f>A43</f>
        <v>4</v>
      </c>
      <c r="B46" s="37"/>
      <c r="C46" s="19"/>
      <c r="D46" s="250">
        <v>0.5</v>
      </c>
      <c r="E46" s="19"/>
      <c r="F46" s="19"/>
      <c r="G46" s="19"/>
      <c r="H46" s="216">
        <f t="shared" si="39"/>
        <v>0</v>
      </c>
      <c r="I46" s="216">
        <f t="shared" si="40"/>
        <v>0</v>
      </c>
      <c r="J46" s="216">
        <f t="shared" si="36"/>
        <v>0</v>
      </c>
      <c r="K46" s="242" t="str">
        <f t="shared" si="41"/>
        <v>-</v>
      </c>
      <c r="L46" s="242">
        <f>F91</f>
        <v>1421</v>
      </c>
      <c r="M46" s="243">
        <f t="shared" si="42"/>
        <v>0</v>
      </c>
      <c r="N46" s="242" t="str">
        <f t="shared" si="43"/>
        <v>-</v>
      </c>
      <c r="O46" s="243">
        <f t="shared" si="44"/>
        <v>0</v>
      </c>
      <c r="P46" s="244">
        <f t="shared" si="38"/>
        <v>0</v>
      </c>
      <c r="Q46" s="241" t="str" cm="1">
        <f t="array" ref="Q46">IFERROR(K46/INDEX(Rents,(A46+1),8),"")</f>
        <v/>
      </c>
      <c r="R46" s="171" t="s">
        <v>74</v>
      </c>
    </row>
    <row r="47" spans="1:18" ht="13.15" customHeight="1" outlineLevel="1">
      <c r="A47" s="251" t="str">
        <f>A43</f>
        <v>4</v>
      </c>
      <c r="B47" s="37"/>
      <c r="C47" s="19"/>
      <c r="D47" s="250">
        <v>0.6</v>
      </c>
      <c r="E47" s="19"/>
      <c r="F47" s="19"/>
      <c r="G47" s="19"/>
      <c r="H47" s="216">
        <f t="shared" si="39"/>
        <v>0</v>
      </c>
      <c r="I47" s="216">
        <f t="shared" si="40"/>
        <v>0</v>
      </c>
      <c r="J47" s="216">
        <f t="shared" si="36"/>
        <v>0</v>
      </c>
      <c r="K47" s="242" t="str">
        <f t="shared" si="41"/>
        <v>-</v>
      </c>
      <c r="L47" s="242">
        <f>G91</f>
        <v>1705</v>
      </c>
      <c r="M47" s="243">
        <f t="shared" si="42"/>
        <v>0</v>
      </c>
      <c r="N47" s="242" t="str">
        <f>IF(G47=0,"-",$E$83)</f>
        <v>-</v>
      </c>
      <c r="O47" s="243">
        <f t="shared" si="44"/>
        <v>0</v>
      </c>
      <c r="P47" s="244">
        <f t="shared" si="38"/>
        <v>0</v>
      </c>
      <c r="Q47" s="241" t="str" cm="1">
        <f t="array" ref="Q47">IFERROR(K47/INDEX(Rents,(A47+1),8),"")</f>
        <v/>
      </c>
      <c r="R47" s="171" t="s">
        <v>75</v>
      </c>
    </row>
    <row r="48" spans="1:18" ht="13.15" customHeight="1" outlineLevel="1">
      <c r="A48" s="251" t="str">
        <f>A43</f>
        <v>4</v>
      </c>
      <c r="B48" s="37"/>
      <c r="C48" s="19"/>
      <c r="D48" s="250">
        <v>0.7</v>
      </c>
      <c r="E48" s="19"/>
      <c r="F48" s="19"/>
      <c r="G48" s="19"/>
      <c r="H48" s="216">
        <f t="shared" si="39"/>
        <v>0</v>
      </c>
      <c r="I48" s="216">
        <f t="shared" si="40"/>
        <v>0</v>
      </c>
      <c r="J48" s="216">
        <f t="shared" si="36"/>
        <v>0</v>
      </c>
      <c r="K48" s="242" t="str">
        <f t="shared" si="41"/>
        <v>-</v>
      </c>
      <c r="L48" s="242">
        <f>H91</f>
        <v>1989</v>
      </c>
      <c r="M48" s="243">
        <f t="shared" si="42"/>
        <v>0</v>
      </c>
      <c r="N48" s="242" t="str">
        <f t="shared" ref="N48:N49" si="45">IF(G48=0,"-",$E$83)</f>
        <v>-</v>
      </c>
      <c r="O48" s="243">
        <f t="shared" si="44"/>
        <v>0</v>
      </c>
      <c r="P48" s="244">
        <f t="shared" si="38"/>
        <v>0</v>
      </c>
      <c r="Q48" s="241" t="str" cm="1">
        <f t="array" ref="Q48">IFERROR(K48/INDEX(Rents,(A48+1),8),"")</f>
        <v/>
      </c>
      <c r="R48" s="171" t="s">
        <v>75</v>
      </c>
    </row>
    <row r="49" spans="1:18" ht="13.15" customHeight="1" outlineLevel="1">
      <c r="A49" s="251" t="str">
        <f>A43</f>
        <v>4</v>
      </c>
      <c r="B49" s="37"/>
      <c r="C49" s="19"/>
      <c r="D49" s="250">
        <v>0.8</v>
      </c>
      <c r="E49" s="19"/>
      <c r="F49" s="19"/>
      <c r="G49" s="19"/>
      <c r="H49" s="216">
        <f t="shared" si="39"/>
        <v>0</v>
      </c>
      <c r="I49" s="216">
        <f t="shared" si="40"/>
        <v>0</v>
      </c>
      <c r="J49" s="216">
        <f t="shared" si="36"/>
        <v>0</v>
      </c>
      <c r="K49" s="242" t="str">
        <f t="shared" si="41"/>
        <v>-</v>
      </c>
      <c r="L49" s="242">
        <f>I91</f>
        <v>2274</v>
      </c>
      <c r="M49" s="243">
        <f t="shared" si="42"/>
        <v>0</v>
      </c>
      <c r="N49" s="242" t="str">
        <f t="shared" si="45"/>
        <v>-</v>
      </c>
      <c r="O49" s="243">
        <f t="shared" si="44"/>
        <v>0</v>
      </c>
      <c r="P49" s="244">
        <f t="shared" si="38"/>
        <v>0</v>
      </c>
      <c r="Q49" s="241" t="str" cm="1">
        <f t="array" ref="Q49">IFERROR(K49/INDEX(Rents,(A49+1),8),"")</f>
        <v/>
      </c>
      <c r="R49" s="171" t="s">
        <v>75</v>
      </c>
    </row>
    <row r="50" spans="1:18" ht="13.15" customHeight="1" outlineLevel="1">
      <c r="A50" s="251" t="str">
        <f>A43</f>
        <v>4</v>
      </c>
      <c r="B50" s="64"/>
      <c r="C50" s="17"/>
      <c r="D50" s="231" t="s">
        <v>76</v>
      </c>
      <c r="E50" s="17"/>
      <c r="F50" s="17"/>
      <c r="G50" s="17"/>
      <c r="H50" s="245">
        <f t="shared" si="39"/>
        <v>0</v>
      </c>
      <c r="I50" s="245">
        <f t="shared" si="40"/>
        <v>0</v>
      </c>
      <c r="J50" s="245">
        <f t="shared" si="36"/>
        <v>0</v>
      </c>
      <c r="K50" s="246" t="str">
        <f t="shared" si="41"/>
        <v>-</v>
      </c>
      <c r="L50" s="246" t="s">
        <v>77</v>
      </c>
      <c r="M50" s="246"/>
      <c r="N50" s="246" t="s">
        <v>77</v>
      </c>
      <c r="O50" s="247"/>
      <c r="P50" s="248">
        <f t="shared" si="38"/>
        <v>0</v>
      </c>
      <c r="R50" s="171"/>
    </row>
    <row r="51" spans="1:18" ht="13.15" customHeight="1" outlineLevel="1">
      <c r="B51" s="37" t="s">
        <v>78</v>
      </c>
      <c r="C51" s="43">
        <f>SUM(C44:C50)</f>
        <v>0</v>
      </c>
      <c r="D51" s="43"/>
      <c r="E51" s="43"/>
      <c r="F51" s="43"/>
      <c r="G51" s="37"/>
      <c r="H51" s="216">
        <f>SUM(H44:H50)</f>
        <v>0</v>
      </c>
      <c r="I51" s="216">
        <f>SUM(I44:I50)</f>
        <v>0</v>
      </c>
      <c r="J51" s="217"/>
      <c r="K51" s="217"/>
      <c r="L51" s="217"/>
      <c r="M51" s="217"/>
      <c r="N51" s="217"/>
      <c r="O51" s="218"/>
      <c r="P51" s="216">
        <f>SUM(P44:P50)</f>
        <v>0</v>
      </c>
      <c r="R51" s="171"/>
    </row>
    <row r="52" spans="1:18" ht="13.15" customHeight="1">
      <c r="B52" s="37"/>
      <c r="C52" s="43"/>
      <c r="D52" s="43"/>
      <c r="E52" s="43"/>
      <c r="F52" s="43"/>
      <c r="G52" s="37"/>
      <c r="H52" s="37"/>
      <c r="I52" s="37"/>
      <c r="J52" s="37"/>
      <c r="K52" s="37"/>
      <c r="L52" s="37"/>
      <c r="M52" s="37"/>
      <c r="N52" s="37"/>
      <c r="P52" s="37"/>
      <c r="R52" s="171"/>
    </row>
    <row r="53" spans="1:18" ht="13.15" customHeight="1">
      <c r="B53" s="219" t="s">
        <v>83</v>
      </c>
      <c r="C53" s="220" t="s">
        <v>84</v>
      </c>
      <c r="D53" s="221"/>
      <c r="E53" s="221"/>
      <c r="F53" s="221"/>
      <c r="G53" s="60"/>
      <c r="H53" s="222" t="s">
        <v>66</v>
      </c>
      <c r="I53" s="222" t="s">
        <v>67</v>
      </c>
      <c r="J53" s="222"/>
      <c r="K53" s="60"/>
      <c r="L53" s="60"/>
      <c r="M53" s="60"/>
      <c r="N53" s="60"/>
      <c r="O53" s="223"/>
      <c r="P53" s="224" t="s">
        <v>85</v>
      </c>
      <c r="R53" s="171"/>
    </row>
    <row r="54" spans="1:18" ht="13.15" customHeight="1">
      <c r="B54" s="225"/>
      <c r="C54" s="43">
        <f>C11+C21+C31+C41+C51</f>
        <v>0</v>
      </c>
      <c r="D54" s="43"/>
      <c r="E54" s="43"/>
      <c r="F54" s="43"/>
      <c r="G54" s="226" t="s">
        <v>86</v>
      </c>
      <c r="H54" s="227">
        <f>H11+H21+H31+H41+H51</f>
        <v>0</v>
      </c>
      <c r="I54" s="227">
        <f>I11+I21+I31+I41+I51</f>
        <v>0</v>
      </c>
      <c r="J54" s="228"/>
      <c r="K54" s="37"/>
      <c r="L54" s="37"/>
      <c r="M54" s="37"/>
      <c r="N54" s="37"/>
      <c r="P54" s="229">
        <f>P11+P21+P31+P41+P51</f>
        <v>0</v>
      </c>
      <c r="R54" s="171"/>
    </row>
    <row r="55" spans="1:18" ht="13.15" customHeight="1">
      <c r="B55" s="230"/>
      <c r="C55" s="231"/>
      <c r="D55" s="231"/>
      <c r="E55" s="231"/>
      <c r="F55" s="231"/>
      <c r="G55" s="66" t="s">
        <v>87</v>
      </c>
      <c r="H55" s="232" t="e">
        <f>H54/Units</f>
        <v>#DIV/0!</v>
      </c>
      <c r="I55" s="232" t="e">
        <f>I54/Units</f>
        <v>#DIV/0!</v>
      </c>
      <c r="J55" s="233"/>
      <c r="K55" s="64"/>
      <c r="L55" s="64"/>
      <c r="M55" s="64"/>
      <c r="N55" s="64"/>
      <c r="O55" s="234"/>
      <c r="P55" s="235"/>
      <c r="R55" s="171"/>
    </row>
    <row r="56" spans="1:18" ht="13.15" customHeight="1">
      <c r="B56" s="37"/>
      <c r="C56" s="43"/>
      <c r="D56" s="43"/>
      <c r="E56" s="43"/>
      <c r="F56" s="43"/>
      <c r="G56" s="44"/>
      <c r="H56" s="236"/>
      <c r="I56" s="236"/>
      <c r="J56" s="236"/>
      <c r="K56" s="37"/>
      <c r="L56" s="37"/>
      <c r="M56" s="37"/>
      <c r="N56" s="37"/>
      <c r="P56" s="37"/>
      <c r="R56" s="171"/>
    </row>
    <row r="57" spans="1:18" ht="13.15" customHeight="1">
      <c r="B57" s="136" t="s">
        <v>88</v>
      </c>
      <c r="D57" s="38"/>
      <c r="E57" s="38"/>
      <c r="F57" s="38"/>
      <c r="H57" s="172" t="s">
        <v>89</v>
      </c>
      <c r="I57" s="172" t="s">
        <v>90</v>
      </c>
      <c r="J57" s="172"/>
      <c r="K57" s="136" t="s">
        <v>91</v>
      </c>
      <c r="L57" s="136"/>
      <c r="M57" s="136"/>
      <c r="R57" s="171"/>
    </row>
    <row r="58" spans="1:18" ht="13.15" customHeight="1">
      <c r="B58" s="211" t="s">
        <v>92</v>
      </c>
      <c r="C58" s="212"/>
      <c r="D58" s="212"/>
      <c r="E58" s="212"/>
      <c r="F58" s="212"/>
      <c r="G58" s="213"/>
      <c r="H58" s="137"/>
      <c r="I58" s="209">
        <f>H58*12</f>
        <v>0</v>
      </c>
      <c r="J58" s="37"/>
      <c r="K58" s="210" t="s">
        <v>93</v>
      </c>
      <c r="L58" s="138"/>
      <c r="R58" s="171"/>
    </row>
    <row r="59" spans="1:18" ht="13.15" customHeight="1">
      <c r="B59" s="207" t="s">
        <v>94</v>
      </c>
      <c r="H59" s="139"/>
      <c r="I59" s="203">
        <f>H59*12</f>
        <v>0</v>
      </c>
      <c r="J59" s="37"/>
      <c r="K59" s="204" t="s">
        <v>95</v>
      </c>
      <c r="L59" s="140"/>
      <c r="R59" s="171"/>
    </row>
    <row r="60" spans="1:18" ht="13.15" customHeight="1">
      <c r="B60" s="207" t="s">
        <v>96</v>
      </c>
      <c r="E60" s="214"/>
      <c r="F60" s="215"/>
      <c r="H60" s="139"/>
      <c r="I60" s="203">
        <f>H60*12</f>
        <v>0</v>
      </c>
      <c r="J60" s="37"/>
      <c r="K60" s="204" t="s">
        <v>97</v>
      </c>
      <c r="L60" s="140"/>
      <c r="R60" s="171"/>
    </row>
    <row r="61" spans="1:18" ht="13.15" customHeight="1">
      <c r="B61" s="207" t="s">
        <v>98</v>
      </c>
      <c r="C61" s="123"/>
      <c r="D61" s="123"/>
      <c r="E61" s="123"/>
      <c r="F61" s="123"/>
      <c r="G61" s="123"/>
      <c r="H61" s="139"/>
      <c r="I61" s="203">
        <f>H61*12</f>
        <v>0</v>
      </c>
      <c r="J61" s="37"/>
      <c r="K61" s="204" t="s">
        <v>99</v>
      </c>
      <c r="L61" s="140"/>
      <c r="R61" s="171"/>
    </row>
    <row r="62" spans="1:18" ht="13.15" customHeight="1">
      <c r="B62" s="208" t="s">
        <v>98</v>
      </c>
      <c r="C62" s="122"/>
      <c r="D62" s="122"/>
      <c r="E62" s="122"/>
      <c r="F62" s="122"/>
      <c r="G62" s="122"/>
      <c r="H62" s="141"/>
      <c r="I62" s="205">
        <f>H62*12</f>
        <v>0</v>
      </c>
      <c r="J62" s="37"/>
      <c r="K62" s="206" t="s">
        <v>100</v>
      </c>
      <c r="L62" s="142"/>
      <c r="R62" s="171"/>
    </row>
    <row r="63" spans="1:18" ht="13.15" customHeight="1">
      <c r="B63" s="39" t="s">
        <v>83</v>
      </c>
      <c r="C63" s="43"/>
      <c r="D63" s="43"/>
      <c r="E63" s="43"/>
      <c r="F63" s="43"/>
      <c r="G63" s="37"/>
      <c r="H63" s="200">
        <f>SUM(H58:H62)</f>
        <v>0</v>
      </c>
      <c r="I63" s="201">
        <f>SUM(I58:I62)</f>
        <v>0</v>
      </c>
      <c r="J63" s="37"/>
      <c r="K63" s="37"/>
      <c r="R63" s="171"/>
    </row>
    <row r="64" spans="1:18">
      <c r="B64" s="37"/>
      <c r="C64" s="43"/>
      <c r="D64" s="43"/>
      <c r="E64" s="43"/>
      <c r="F64" s="43"/>
      <c r="G64" s="37"/>
      <c r="H64" s="202" t="s">
        <v>101</v>
      </c>
      <c r="I64" s="201">
        <f>I63/12</f>
        <v>0</v>
      </c>
      <c r="J64" s="37"/>
      <c r="K64" s="37"/>
      <c r="L64" s="37"/>
      <c r="M64" s="37"/>
      <c r="N64" s="37"/>
      <c r="P64" s="37"/>
      <c r="R64" s="171"/>
    </row>
    <row r="65" spans="2:34">
      <c r="B65" s="37"/>
      <c r="C65" s="43"/>
      <c r="D65" s="43"/>
      <c r="E65" s="43"/>
      <c r="F65" s="43"/>
      <c r="G65" s="37"/>
      <c r="H65" s="37"/>
      <c r="I65" s="37"/>
      <c r="J65" s="37"/>
      <c r="K65" s="37"/>
      <c r="L65" s="37"/>
      <c r="M65" s="37"/>
      <c r="N65" s="37"/>
      <c r="P65" s="37"/>
      <c r="R65" s="171"/>
    </row>
    <row r="66" spans="2:34">
      <c r="B66" s="143" t="s">
        <v>418</v>
      </c>
      <c r="C66" s="143"/>
      <c r="D66" s="143"/>
      <c r="E66" s="143"/>
      <c r="F66" s="143"/>
      <c r="G66" s="182" t="s">
        <v>102</v>
      </c>
      <c r="H66" s="143">
        <v>2024</v>
      </c>
      <c r="I66" s="195"/>
      <c r="J66" s="155"/>
      <c r="K66" s="155"/>
      <c r="M66" s="188"/>
      <c r="N66" s="155"/>
      <c r="P66" s="155"/>
      <c r="Q66" s="157"/>
      <c r="R66" s="158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</row>
    <row r="67" spans="2:34">
      <c r="B67" s="159" t="s">
        <v>103</v>
      </c>
      <c r="C67" s="155"/>
      <c r="D67" s="155"/>
      <c r="E67" s="155"/>
      <c r="F67" s="155"/>
      <c r="G67" s="155"/>
      <c r="H67" s="155"/>
      <c r="I67" s="159" t="s">
        <v>104</v>
      </c>
      <c r="K67" s="155"/>
      <c r="M67" s="195"/>
      <c r="N67" s="155"/>
      <c r="P67" s="155"/>
      <c r="Q67" s="157"/>
      <c r="R67" s="158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</row>
    <row r="68" spans="2:34">
      <c r="B68" s="196" t="s">
        <v>105</v>
      </c>
      <c r="C68" s="197" t="s">
        <v>106</v>
      </c>
      <c r="D68" s="197" t="s">
        <v>107</v>
      </c>
      <c r="E68" s="197" t="s">
        <v>108</v>
      </c>
      <c r="F68" s="197" t="s">
        <v>109</v>
      </c>
      <c r="G68" s="197" t="s">
        <v>110</v>
      </c>
      <c r="H68" s="197" t="s">
        <v>111</v>
      </c>
      <c r="I68" s="198" t="s">
        <v>112</v>
      </c>
      <c r="J68" s="198" t="s">
        <v>113</v>
      </c>
      <c r="M68" s="195"/>
      <c r="N68" s="199"/>
      <c r="Q68" s="157"/>
      <c r="R68" s="158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</row>
    <row r="69" spans="2:34">
      <c r="B69" s="176" t="s">
        <v>24</v>
      </c>
      <c r="C69" s="145">
        <v>20600</v>
      </c>
      <c r="D69" s="146">
        <v>23550</v>
      </c>
      <c r="E69" s="146">
        <v>26500</v>
      </c>
      <c r="F69" s="146">
        <v>29400</v>
      </c>
      <c r="G69" s="146">
        <v>31800</v>
      </c>
      <c r="H69" s="147">
        <v>34150</v>
      </c>
      <c r="I69" s="193">
        <f t="shared" ref="I69:I75" si="46">(C69+D69)/2</f>
        <v>22075</v>
      </c>
      <c r="J69" s="194">
        <f t="shared" ref="J69:J75" si="47">(F69+G69)/2</f>
        <v>30600</v>
      </c>
      <c r="M69" s="195"/>
      <c r="N69" s="181"/>
      <c r="Q69" s="157"/>
      <c r="R69" s="158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</row>
    <row r="70" spans="2:34">
      <c r="B70" s="176" t="s">
        <v>25</v>
      </c>
      <c r="C70" s="165">
        <f t="shared" ref="C70:H70" si="48">0.8*C71</f>
        <v>27440</v>
      </c>
      <c r="D70" s="191">
        <f t="shared" si="48"/>
        <v>31360</v>
      </c>
      <c r="E70" s="191">
        <f t="shared" si="48"/>
        <v>35280</v>
      </c>
      <c r="F70" s="191">
        <f t="shared" si="48"/>
        <v>39200</v>
      </c>
      <c r="G70" s="191">
        <f t="shared" si="48"/>
        <v>42360</v>
      </c>
      <c r="H70" s="192">
        <f t="shared" si="48"/>
        <v>45480</v>
      </c>
      <c r="I70" s="189">
        <f t="shared" si="46"/>
        <v>29400</v>
      </c>
      <c r="J70" s="190">
        <f t="shared" si="47"/>
        <v>40780</v>
      </c>
      <c r="N70" s="181"/>
      <c r="Q70" s="157"/>
      <c r="R70" s="158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</row>
    <row r="71" spans="2:34">
      <c r="B71" s="176" t="s">
        <v>26</v>
      </c>
      <c r="C71" s="148">
        <v>34300</v>
      </c>
      <c r="D71" s="149">
        <v>39200</v>
      </c>
      <c r="E71" s="149">
        <v>44100</v>
      </c>
      <c r="F71" s="149">
        <v>49000</v>
      </c>
      <c r="G71" s="149">
        <v>52950</v>
      </c>
      <c r="H71" s="150">
        <v>56850</v>
      </c>
      <c r="I71" s="189">
        <f t="shared" si="46"/>
        <v>36750</v>
      </c>
      <c r="J71" s="190">
        <f t="shared" si="47"/>
        <v>50975</v>
      </c>
      <c r="N71" s="181"/>
      <c r="Q71" s="157"/>
      <c r="R71" s="158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</row>
    <row r="72" spans="2:34">
      <c r="B72" s="176" t="s">
        <v>27</v>
      </c>
      <c r="C72" s="148">
        <v>41160</v>
      </c>
      <c r="D72" s="149">
        <v>47040</v>
      </c>
      <c r="E72" s="149">
        <v>52920</v>
      </c>
      <c r="F72" s="149">
        <v>58800</v>
      </c>
      <c r="G72" s="149">
        <v>63540</v>
      </c>
      <c r="H72" s="150">
        <v>68220</v>
      </c>
      <c r="I72" s="189">
        <f t="shared" si="46"/>
        <v>44100</v>
      </c>
      <c r="J72" s="190">
        <f t="shared" si="47"/>
        <v>61170</v>
      </c>
      <c r="N72" s="181"/>
      <c r="Q72" s="157"/>
      <c r="R72" s="158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</row>
    <row r="73" spans="2:34">
      <c r="B73" s="176" t="s">
        <v>28</v>
      </c>
      <c r="C73" s="165">
        <f>1.4*C71</f>
        <v>48020</v>
      </c>
      <c r="D73" s="191">
        <f t="shared" ref="D73:H73" si="49">1.4*D71</f>
        <v>54880</v>
      </c>
      <c r="E73" s="191">
        <f t="shared" si="49"/>
        <v>61739.999999999993</v>
      </c>
      <c r="F73" s="191">
        <f t="shared" si="49"/>
        <v>68600</v>
      </c>
      <c r="G73" s="191">
        <f t="shared" si="49"/>
        <v>74130</v>
      </c>
      <c r="H73" s="192">
        <f t="shared" si="49"/>
        <v>79590</v>
      </c>
      <c r="I73" s="189">
        <f t="shared" si="46"/>
        <v>51450</v>
      </c>
      <c r="J73" s="190">
        <f t="shared" si="47"/>
        <v>71365</v>
      </c>
      <c r="N73" s="181"/>
      <c r="Q73" s="157"/>
      <c r="R73" s="158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</row>
    <row r="74" spans="2:34">
      <c r="B74" s="176" t="s">
        <v>29</v>
      </c>
      <c r="C74" s="148">
        <v>54900</v>
      </c>
      <c r="D74" s="149">
        <v>62750</v>
      </c>
      <c r="E74" s="149">
        <v>70600</v>
      </c>
      <c r="F74" s="149">
        <v>78400</v>
      </c>
      <c r="G74" s="149">
        <v>84700</v>
      </c>
      <c r="H74" s="150">
        <v>90950</v>
      </c>
      <c r="I74" s="189">
        <f t="shared" si="46"/>
        <v>58825</v>
      </c>
      <c r="J74" s="190">
        <f t="shared" si="47"/>
        <v>81550</v>
      </c>
      <c r="N74" s="181"/>
      <c r="Q74" s="157"/>
      <c r="R74" s="158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</row>
    <row r="75" spans="2:34">
      <c r="B75" s="176" t="s">
        <v>114</v>
      </c>
      <c r="C75" s="168">
        <f t="shared" ref="C75:H75" si="50">2*C71</f>
        <v>68600</v>
      </c>
      <c r="D75" s="177">
        <f t="shared" si="50"/>
        <v>78400</v>
      </c>
      <c r="E75" s="177">
        <f t="shared" si="50"/>
        <v>88200</v>
      </c>
      <c r="F75" s="177">
        <f t="shared" si="50"/>
        <v>98000</v>
      </c>
      <c r="G75" s="177">
        <f t="shared" si="50"/>
        <v>105900</v>
      </c>
      <c r="H75" s="178">
        <f t="shared" si="50"/>
        <v>113700</v>
      </c>
      <c r="I75" s="179">
        <f t="shared" si="46"/>
        <v>73500</v>
      </c>
      <c r="J75" s="180">
        <f t="shared" si="47"/>
        <v>101950</v>
      </c>
      <c r="N75" s="181"/>
      <c r="Q75" s="157"/>
      <c r="R75" s="158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</row>
    <row r="76" spans="2:34">
      <c r="B76" s="182"/>
      <c r="C76" s="183" t="s">
        <v>115</v>
      </c>
      <c r="D76" s="184"/>
      <c r="E76" s="183" t="s">
        <v>116</v>
      </c>
      <c r="F76" s="184"/>
      <c r="G76" s="184"/>
      <c r="H76" s="183" t="s">
        <v>117</v>
      </c>
      <c r="I76" s="183" t="s">
        <v>118</v>
      </c>
      <c r="J76" s="183" t="s">
        <v>119</v>
      </c>
      <c r="N76" s="185"/>
      <c r="Q76" s="157"/>
      <c r="R76" s="158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</row>
    <row r="77" spans="2:34">
      <c r="B77" s="155"/>
      <c r="C77" s="155"/>
      <c r="D77" s="155"/>
      <c r="E77" s="155"/>
      <c r="F77" s="155"/>
      <c r="G77" s="155"/>
      <c r="H77" s="155"/>
      <c r="J77" s="155"/>
      <c r="K77" s="155"/>
      <c r="L77" s="155"/>
      <c r="M77" s="155"/>
      <c r="N77" s="155"/>
      <c r="P77" s="155"/>
      <c r="Q77" s="157"/>
      <c r="R77" s="158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</row>
    <row r="78" spans="2:34">
      <c r="C78" s="186" t="s">
        <v>120</v>
      </c>
      <c r="D78" s="187" t="s">
        <v>121</v>
      </c>
      <c r="E78" s="187" t="s">
        <v>122</v>
      </c>
      <c r="F78" s="187" t="s">
        <v>123</v>
      </c>
      <c r="G78" s="187" t="s">
        <v>124</v>
      </c>
      <c r="I78" s="188" t="s">
        <v>125</v>
      </c>
      <c r="K78" s="155"/>
      <c r="L78" s="155"/>
      <c r="M78" s="155"/>
      <c r="N78" s="155"/>
      <c r="P78" s="155"/>
      <c r="Q78" s="157"/>
      <c r="R78" s="158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</row>
    <row r="79" spans="2:34">
      <c r="C79" s="174" t="s">
        <v>93</v>
      </c>
      <c r="D79" s="151">
        <v>857</v>
      </c>
      <c r="E79" s="151">
        <v>993</v>
      </c>
      <c r="F79" s="151">
        <v>515</v>
      </c>
      <c r="G79" s="151">
        <v>993</v>
      </c>
      <c r="I79" s="144" t="s">
        <v>126</v>
      </c>
      <c r="J79" s="103"/>
      <c r="K79" s="155"/>
      <c r="L79" s="155"/>
      <c r="M79" s="155"/>
      <c r="N79" s="155"/>
      <c r="P79" s="155"/>
      <c r="Q79" s="157"/>
      <c r="R79" s="158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</row>
    <row r="80" spans="2:34">
      <c r="C80" s="175" t="s">
        <v>95</v>
      </c>
      <c r="D80" s="152">
        <v>918</v>
      </c>
      <c r="E80" s="152">
        <v>1139</v>
      </c>
      <c r="F80" s="152">
        <v>551</v>
      </c>
      <c r="G80" s="152">
        <v>1139</v>
      </c>
      <c r="I80" s="144" t="s">
        <v>127</v>
      </c>
      <c r="J80" s="103"/>
      <c r="K80" s="155"/>
      <c r="L80" s="155"/>
      <c r="M80" s="155"/>
      <c r="N80" s="155"/>
      <c r="P80" s="155"/>
      <c r="Q80" s="157"/>
      <c r="R80" s="158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</row>
    <row r="81" spans="2:34">
      <c r="C81" s="175" t="s">
        <v>97</v>
      </c>
      <c r="D81" s="152">
        <v>1102</v>
      </c>
      <c r="E81" s="152">
        <v>1388</v>
      </c>
      <c r="F81" s="152">
        <v>662</v>
      </c>
      <c r="G81" s="152">
        <v>1388</v>
      </c>
      <c r="I81" s="144" t="s">
        <v>128</v>
      </c>
      <c r="J81" s="103"/>
      <c r="K81" s="155"/>
      <c r="L81" s="155"/>
      <c r="M81" s="155"/>
      <c r="N81" s="155"/>
      <c r="P81" s="155"/>
      <c r="Q81" s="157"/>
      <c r="R81" s="158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</row>
    <row r="82" spans="2:34">
      <c r="C82" s="175" t="s">
        <v>99</v>
      </c>
      <c r="D82" s="152">
        <v>1274</v>
      </c>
      <c r="E82" s="152">
        <v>1622</v>
      </c>
      <c r="F82" s="152">
        <v>847</v>
      </c>
      <c r="G82" s="152">
        <v>1956</v>
      </c>
      <c r="I82" s="103"/>
      <c r="J82" s="103"/>
      <c r="K82" s="155"/>
      <c r="L82" s="155"/>
      <c r="M82" s="155"/>
      <c r="N82" s="155"/>
      <c r="P82" s="155"/>
      <c r="Q82" s="157"/>
      <c r="R82" s="158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</row>
    <row r="83" spans="2:34">
      <c r="C83" s="175" t="s">
        <v>100</v>
      </c>
      <c r="D83" s="153">
        <v>1421</v>
      </c>
      <c r="E83" s="153">
        <v>1790</v>
      </c>
      <c r="F83" s="153">
        <v>1049</v>
      </c>
      <c r="G83" s="153">
        <v>2298</v>
      </c>
      <c r="K83" s="155"/>
      <c r="L83" s="155"/>
      <c r="M83" s="155"/>
      <c r="N83" s="155"/>
      <c r="P83" s="155"/>
      <c r="Q83" s="157"/>
      <c r="R83" s="158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</row>
    <row r="84" spans="2:34"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P84" s="155"/>
      <c r="Q84" s="157"/>
      <c r="R84" s="158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</row>
    <row r="85" spans="2:34">
      <c r="B85" s="159" t="s">
        <v>129</v>
      </c>
      <c r="C85" s="155"/>
      <c r="D85" s="155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P85" s="155"/>
      <c r="Q85" s="157"/>
      <c r="R85" s="158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</row>
    <row r="86" spans="2:34">
      <c r="B86" s="155"/>
      <c r="C86" s="155" t="s">
        <v>130</v>
      </c>
      <c r="D86" s="155" t="s">
        <v>24</v>
      </c>
      <c r="E86" s="155" t="s">
        <v>25</v>
      </c>
      <c r="F86" s="155" t="s">
        <v>26</v>
      </c>
      <c r="G86" s="155" t="s">
        <v>27</v>
      </c>
      <c r="H86" s="155" t="s">
        <v>28</v>
      </c>
      <c r="I86" s="155" t="s">
        <v>29</v>
      </c>
      <c r="J86" s="160" t="s">
        <v>114</v>
      </c>
      <c r="K86" s="155"/>
      <c r="L86" s="155"/>
      <c r="M86" s="155"/>
      <c r="N86" s="155"/>
      <c r="P86" s="155"/>
      <c r="Q86" s="157"/>
      <c r="R86" s="158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</row>
    <row r="87" spans="2:34">
      <c r="B87" s="161" t="s">
        <v>93</v>
      </c>
      <c r="C87" s="162">
        <f>ROUNDDOWN(0.2*J87,0)</f>
        <v>343</v>
      </c>
      <c r="D87" s="163">
        <f>ROUNDDOWN(0.3*J87,0)</f>
        <v>514</v>
      </c>
      <c r="E87" s="162">
        <f>ROUNDDOWN(0.4*J87,0)</f>
        <v>686</v>
      </c>
      <c r="F87" s="163">
        <f>ROUNDDOWN(0.5*J87,0)</f>
        <v>857</v>
      </c>
      <c r="G87" s="163">
        <f>ROUNDDOWN(0.6*J87,0)</f>
        <v>1029</v>
      </c>
      <c r="H87" s="163">
        <f>ROUNDDOWN(0.7*J87,0)</f>
        <v>1200</v>
      </c>
      <c r="I87" s="163">
        <f>ROUNDDOWN(0.8*J87,0)</f>
        <v>1372</v>
      </c>
      <c r="J87" s="164">
        <f>C75/12*0.3</f>
        <v>1715</v>
      </c>
      <c r="K87" s="155"/>
      <c r="L87" s="155"/>
      <c r="M87" s="155"/>
      <c r="N87" s="155"/>
      <c r="P87" s="155"/>
      <c r="Q87" s="157"/>
      <c r="R87" s="158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</row>
    <row r="88" spans="2:34">
      <c r="B88" s="161" t="s">
        <v>95</v>
      </c>
      <c r="C88" s="165">
        <f t="shared" ref="C88:C91" si="51">ROUNDDOWN(0.2*J88,0)</f>
        <v>367</v>
      </c>
      <c r="D88" s="166">
        <f>ROUNDDOWN(0.3*J88,0)</f>
        <v>551</v>
      </c>
      <c r="E88" s="165">
        <f>ROUNDDOWN(0.4*J88,0)</f>
        <v>735</v>
      </c>
      <c r="F88" s="166">
        <f>ROUNDDOWN(0.5*J88,0)</f>
        <v>918</v>
      </c>
      <c r="G88" s="166">
        <f>ROUNDDOWN(0.6*J88,0)</f>
        <v>1102</v>
      </c>
      <c r="H88" s="166">
        <f>ROUNDDOWN(0.7*J88,0)</f>
        <v>1286</v>
      </c>
      <c r="I88" s="166">
        <f t="shared" ref="I88:I91" si="52">ROUNDDOWN(0.8*J88,0)</f>
        <v>1470</v>
      </c>
      <c r="J88" s="167">
        <f>I75/12*0.3</f>
        <v>1837.5</v>
      </c>
      <c r="K88" s="155"/>
      <c r="L88" s="155"/>
      <c r="M88" s="155"/>
      <c r="N88" s="155"/>
      <c r="P88" s="155"/>
      <c r="Q88" s="157"/>
      <c r="R88" s="158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</row>
    <row r="89" spans="2:34">
      <c r="B89" s="161" t="s">
        <v>97</v>
      </c>
      <c r="C89" s="165">
        <f t="shared" si="51"/>
        <v>441</v>
      </c>
      <c r="D89" s="166">
        <f>ROUNDDOWN(0.3*J89,0)</f>
        <v>661</v>
      </c>
      <c r="E89" s="165">
        <f>ROUNDDOWN(0.4*J89,0)</f>
        <v>882</v>
      </c>
      <c r="F89" s="166">
        <f>ROUNDDOWN(0.5*J89,0)</f>
        <v>1102</v>
      </c>
      <c r="G89" s="166">
        <f>ROUNDDOWN(0.6*J89,0)</f>
        <v>1323</v>
      </c>
      <c r="H89" s="166">
        <f>ROUNDDOWN(0.7*J89,0)</f>
        <v>1543</v>
      </c>
      <c r="I89" s="166">
        <f t="shared" si="52"/>
        <v>1764</v>
      </c>
      <c r="J89" s="167">
        <f>E75/12*0.3</f>
        <v>2205</v>
      </c>
      <c r="K89" s="155"/>
      <c r="L89" s="155"/>
      <c r="M89" s="155"/>
      <c r="N89" s="155"/>
      <c r="P89" s="155"/>
      <c r="Q89" s="157"/>
      <c r="R89" s="158"/>
      <c r="S89" s="157"/>
      <c r="T89" s="157"/>
      <c r="U89" s="157"/>
      <c r="V89" s="157"/>
      <c r="W89" s="157"/>
      <c r="X89" s="157"/>
      <c r="Y89" s="157"/>
      <c r="Z89" s="157"/>
      <c r="AA89" s="157"/>
      <c r="AB89" s="157"/>
      <c r="AC89" s="157"/>
      <c r="AD89" s="157"/>
      <c r="AE89" s="157"/>
      <c r="AF89" s="157"/>
      <c r="AG89" s="157"/>
      <c r="AH89" s="157"/>
    </row>
    <row r="90" spans="2:34">
      <c r="B90" s="161" t="s">
        <v>99</v>
      </c>
      <c r="C90" s="165">
        <f t="shared" si="51"/>
        <v>509</v>
      </c>
      <c r="D90" s="166">
        <f>ROUNDDOWN(0.3*J90,0)</f>
        <v>764</v>
      </c>
      <c r="E90" s="165">
        <f>ROUNDDOWN(0.4*J90,0)</f>
        <v>1019</v>
      </c>
      <c r="F90" s="166">
        <f>ROUNDDOWN(0.5*J90,0)</f>
        <v>1274</v>
      </c>
      <c r="G90" s="166">
        <f>ROUNDDOWN(0.6*J90,0)</f>
        <v>1529</v>
      </c>
      <c r="H90" s="166">
        <f>ROUNDDOWN(0.7*J90,0)</f>
        <v>1784</v>
      </c>
      <c r="I90" s="166">
        <f t="shared" si="52"/>
        <v>2039</v>
      </c>
      <c r="J90" s="167">
        <f>J75/12*0.3</f>
        <v>2548.75</v>
      </c>
      <c r="K90" s="155"/>
      <c r="L90" s="155"/>
      <c r="M90" s="155"/>
      <c r="N90" s="155"/>
      <c r="P90" s="155"/>
      <c r="Q90" s="157"/>
      <c r="R90" s="158"/>
      <c r="S90" s="157"/>
      <c r="T90" s="157"/>
      <c r="U90" s="157"/>
      <c r="V90" s="157"/>
      <c r="W90" s="157"/>
      <c r="X90" s="157"/>
      <c r="Y90" s="157"/>
      <c r="Z90" s="157"/>
      <c r="AA90" s="157"/>
      <c r="AB90" s="157"/>
      <c r="AC90" s="157"/>
      <c r="AD90" s="157"/>
      <c r="AE90" s="157"/>
      <c r="AF90" s="157"/>
      <c r="AG90" s="157"/>
      <c r="AH90" s="157"/>
    </row>
    <row r="91" spans="2:34">
      <c r="B91" s="161" t="s">
        <v>100</v>
      </c>
      <c r="C91" s="168">
        <f t="shared" si="51"/>
        <v>568</v>
      </c>
      <c r="D91" s="169">
        <f>ROUNDDOWN(0.3*J91,0)</f>
        <v>852</v>
      </c>
      <c r="E91" s="168">
        <f>ROUNDDOWN(0.4*J91,0)</f>
        <v>1137</v>
      </c>
      <c r="F91" s="169">
        <f>ROUNDDOWN(0.5*J91,0)</f>
        <v>1421</v>
      </c>
      <c r="G91" s="169">
        <f>ROUNDDOWN(0.6*J91,0)</f>
        <v>1705</v>
      </c>
      <c r="H91" s="169">
        <f>ROUNDDOWN(0.7*J91,0)</f>
        <v>1989</v>
      </c>
      <c r="I91" s="169">
        <f t="shared" si="52"/>
        <v>2274</v>
      </c>
      <c r="J91" s="170">
        <f>H75/12*0.3</f>
        <v>2842.5</v>
      </c>
      <c r="K91" s="155"/>
      <c r="L91" s="155"/>
      <c r="M91" s="155"/>
      <c r="N91" s="155"/>
      <c r="P91" s="155"/>
      <c r="Q91" s="157"/>
      <c r="R91" s="158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</row>
    <row r="92" spans="2:34">
      <c r="B92" s="37"/>
      <c r="C92" s="43"/>
      <c r="D92" s="43"/>
      <c r="E92" s="43"/>
      <c r="F92" s="43"/>
      <c r="G92" s="37"/>
      <c r="H92" s="37"/>
      <c r="I92" s="37"/>
      <c r="J92" s="37"/>
      <c r="K92" s="37"/>
      <c r="L92" s="37"/>
      <c r="M92" s="37"/>
      <c r="N92" s="37"/>
      <c r="P92" s="37"/>
      <c r="R92" s="171"/>
    </row>
    <row r="93" spans="2:34">
      <c r="B93" s="37"/>
      <c r="C93" s="43"/>
      <c r="D93" s="43"/>
      <c r="E93" s="43"/>
      <c r="F93" s="43"/>
      <c r="G93" s="37"/>
      <c r="H93" s="37"/>
      <c r="I93" s="37"/>
      <c r="J93" s="37"/>
      <c r="K93" s="37"/>
      <c r="L93" s="37"/>
      <c r="M93" s="37"/>
      <c r="N93" s="37"/>
      <c r="P93" s="37"/>
      <c r="R93" s="171"/>
    </row>
    <row r="94" spans="2:34">
      <c r="B94" s="37"/>
      <c r="C94" s="43"/>
      <c r="D94" s="43"/>
      <c r="E94" s="43"/>
      <c r="F94" s="43"/>
      <c r="G94" s="37"/>
      <c r="H94" s="37"/>
      <c r="I94" s="37"/>
      <c r="J94" s="37"/>
      <c r="K94" s="37"/>
      <c r="L94" s="37"/>
      <c r="M94" s="37"/>
      <c r="N94" s="37"/>
      <c r="P94" s="37"/>
      <c r="R94" s="171"/>
    </row>
    <row r="95" spans="2:34">
      <c r="B95" s="37"/>
      <c r="C95" s="43"/>
      <c r="D95" s="43"/>
      <c r="E95" s="43"/>
      <c r="F95" s="43"/>
      <c r="G95" s="37"/>
      <c r="H95" s="37"/>
      <c r="I95" s="37"/>
      <c r="J95" s="37"/>
      <c r="K95" s="37"/>
      <c r="L95" s="37"/>
      <c r="M95" s="37"/>
      <c r="N95" s="37"/>
      <c r="P95" s="37"/>
      <c r="R95" s="171"/>
    </row>
    <row r="96" spans="2:34">
      <c r="B96" s="37"/>
      <c r="C96" s="43"/>
      <c r="D96" s="43"/>
      <c r="E96" s="43"/>
      <c r="F96" s="43"/>
      <c r="G96" s="37"/>
      <c r="H96" s="37"/>
      <c r="I96" s="37"/>
      <c r="J96" s="37"/>
      <c r="K96" s="37"/>
      <c r="L96" s="37"/>
      <c r="M96" s="37"/>
      <c r="N96" s="37"/>
      <c r="P96" s="37"/>
      <c r="R96" s="171"/>
    </row>
    <row r="97" spans="2:18">
      <c r="B97" s="37"/>
      <c r="C97" s="43"/>
      <c r="D97" s="43"/>
      <c r="E97" s="43"/>
      <c r="F97" s="43"/>
      <c r="G97" s="37"/>
      <c r="H97" s="37"/>
      <c r="I97" s="37"/>
      <c r="J97" s="37"/>
      <c r="K97" s="37"/>
      <c r="L97" s="37"/>
      <c r="M97" s="37"/>
      <c r="N97" s="37"/>
      <c r="P97" s="37"/>
      <c r="R97" s="171"/>
    </row>
    <row r="98" spans="2:18">
      <c r="B98" s="37"/>
      <c r="C98" s="43"/>
      <c r="D98" s="43"/>
      <c r="E98" s="43"/>
      <c r="F98" s="43"/>
      <c r="G98" s="37"/>
      <c r="H98" s="37"/>
      <c r="I98" s="37"/>
      <c r="J98" s="37"/>
      <c r="K98" s="37"/>
      <c r="L98" s="37"/>
      <c r="M98" s="37"/>
      <c r="N98" s="37"/>
      <c r="P98" s="37"/>
      <c r="R98" s="171"/>
    </row>
    <row r="99" spans="2:18">
      <c r="B99" s="37"/>
      <c r="C99" s="43"/>
      <c r="D99" s="43"/>
      <c r="E99" s="43"/>
      <c r="F99" s="43"/>
      <c r="G99" s="37"/>
      <c r="H99" s="37"/>
      <c r="I99" s="37"/>
      <c r="J99" s="37"/>
      <c r="K99" s="37"/>
      <c r="L99" s="37"/>
      <c r="M99" s="37"/>
      <c r="N99" s="37"/>
      <c r="P99" s="37"/>
      <c r="R99" s="171"/>
    </row>
    <row r="100" spans="2:18">
      <c r="B100" s="37"/>
      <c r="C100" s="43"/>
      <c r="D100" s="43"/>
      <c r="E100" s="43"/>
      <c r="F100" s="43"/>
      <c r="G100" s="37"/>
      <c r="H100" s="37"/>
      <c r="I100" s="37"/>
      <c r="J100" s="37"/>
      <c r="K100" s="37"/>
      <c r="L100" s="37"/>
      <c r="M100" s="37"/>
      <c r="N100" s="37"/>
      <c r="P100" s="37"/>
      <c r="R100" s="171"/>
    </row>
    <row r="101" spans="2:18">
      <c r="B101" s="37"/>
      <c r="C101" s="43"/>
      <c r="D101" s="43"/>
      <c r="E101" s="43"/>
      <c r="F101" s="43"/>
      <c r="G101" s="37"/>
      <c r="H101" s="37"/>
      <c r="I101" s="37"/>
      <c r="J101" s="37"/>
      <c r="K101" s="37"/>
      <c r="L101" s="37"/>
      <c r="M101" s="37"/>
      <c r="N101" s="37"/>
      <c r="P101" s="37"/>
      <c r="R101" s="171"/>
    </row>
    <row r="102" spans="2:18">
      <c r="B102" s="37"/>
      <c r="C102" s="43"/>
      <c r="D102" s="43"/>
      <c r="E102" s="43"/>
      <c r="F102" s="43"/>
      <c r="G102" s="37"/>
      <c r="H102" s="37"/>
      <c r="I102" s="37"/>
      <c r="J102" s="37"/>
      <c r="K102" s="37"/>
      <c r="L102" s="37"/>
      <c r="M102" s="37"/>
      <c r="N102" s="37"/>
      <c r="P102" s="37"/>
      <c r="R102" s="171"/>
    </row>
    <row r="103" spans="2:18">
      <c r="B103" s="37"/>
      <c r="C103" s="43"/>
      <c r="D103" s="43"/>
      <c r="E103" s="43"/>
      <c r="F103" s="43"/>
      <c r="G103" s="37"/>
      <c r="H103" s="37"/>
      <c r="I103" s="37"/>
      <c r="J103" s="37"/>
      <c r="K103" s="37"/>
      <c r="L103" s="37"/>
      <c r="M103" s="37"/>
      <c r="N103" s="37"/>
      <c r="P103" s="37"/>
      <c r="R103" s="171"/>
    </row>
    <row r="104" spans="2:18">
      <c r="B104" s="37"/>
      <c r="C104" s="43"/>
      <c r="D104" s="43"/>
      <c r="E104" s="43"/>
      <c r="F104" s="43"/>
      <c r="G104" s="37"/>
      <c r="H104" s="37"/>
      <c r="I104" s="37"/>
      <c r="J104" s="37"/>
      <c r="K104" s="37"/>
      <c r="L104" s="37"/>
      <c r="M104" s="37"/>
      <c r="N104" s="37"/>
      <c r="P104" s="37"/>
      <c r="R104" s="171"/>
    </row>
    <row r="105" spans="2:18">
      <c r="B105" s="37"/>
      <c r="C105" s="43"/>
      <c r="D105" s="43"/>
      <c r="E105" s="43"/>
      <c r="F105" s="43"/>
      <c r="G105" s="37"/>
      <c r="H105" s="37"/>
      <c r="I105" s="37"/>
      <c r="J105" s="37"/>
      <c r="K105" s="37"/>
      <c r="L105" s="37"/>
      <c r="M105" s="37"/>
      <c r="N105" s="37"/>
      <c r="P105" s="37"/>
      <c r="R105" s="171"/>
    </row>
    <row r="106" spans="2:18">
      <c r="B106" s="37"/>
      <c r="C106" s="43"/>
      <c r="D106" s="43"/>
      <c r="E106" s="43"/>
    </row>
  </sheetData>
  <sheetProtection algorithmName="SHA-512" hashValue="T/BSOA288+IXNm8c/Yd7gA+bm0+yQJwCRmx9cqjmfGOlGpjPyeAMeTs6TNlfXOaVrppVhqYFeE8VET+sV8d2Yg==" saltValue="9ELXmfL+1mX7C9/qGQ4jYw==" spinCount="100000" sheet="1" objects="1" scenarios="1" formatRows="0" selectLockedCells="1"/>
  <mergeCells count="2">
    <mergeCell ref="C62:G62"/>
    <mergeCell ref="C61:G61"/>
  </mergeCells>
  <phoneticPr fontId="0" type="noConversion"/>
  <conditionalFormatting sqref="L4:L9">
    <cfRule type="expression" dxfId="10" priority="8">
      <formula>M4=1</formula>
    </cfRule>
  </conditionalFormatting>
  <conditionalFormatting sqref="L14:L19">
    <cfRule type="expression" dxfId="9" priority="21">
      <formula>M14=1</formula>
    </cfRule>
  </conditionalFormatting>
  <conditionalFormatting sqref="L24:L29">
    <cfRule type="expression" dxfId="8" priority="6">
      <formula>M24=1</formula>
    </cfRule>
  </conditionalFormatting>
  <conditionalFormatting sqref="L34:L39">
    <cfRule type="expression" dxfId="7" priority="4">
      <formula>M34=1</formula>
    </cfRule>
  </conditionalFormatting>
  <conditionalFormatting sqref="L44:L49">
    <cfRule type="expression" dxfId="6" priority="1">
      <formula>M44=1</formula>
    </cfRule>
  </conditionalFormatting>
  <conditionalFormatting sqref="N4:N9">
    <cfRule type="expression" dxfId="5" priority="7">
      <formula>O4=1</formula>
    </cfRule>
  </conditionalFormatting>
  <conditionalFormatting sqref="N14:N19">
    <cfRule type="expression" dxfId="4" priority="19">
      <formula>O14=1</formula>
    </cfRule>
  </conditionalFormatting>
  <conditionalFormatting sqref="N24:N29">
    <cfRule type="expression" dxfId="3" priority="5">
      <formula>O24=1</formula>
    </cfRule>
  </conditionalFormatting>
  <conditionalFormatting sqref="N34:N39">
    <cfRule type="expression" dxfId="2" priority="3">
      <formula>O34=1</formula>
    </cfRule>
  </conditionalFormatting>
  <conditionalFormatting sqref="N44:N49">
    <cfRule type="expression" dxfId="1" priority="2">
      <formula>O44=1</formula>
    </cfRule>
  </conditionalFormatting>
  <hyperlinks>
    <hyperlink ref="I80" r:id="rId1" xr:uid="{08DAE60C-BF34-4533-B56C-1357C7895EDC}"/>
    <hyperlink ref="I81" r:id="rId2" xr:uid="{91FBD6DA-4F9F-4CC8-86B5-BF7505342E7E}"/>
    <hyperlink ref="I79" r:id="rId3" display="HOME Income Limits Page" xr:uid="{77BE8CC9-1DA5-4D25-9D06-6BB162CCF316}"/>
  </hyperlinks>
  <printOptions horizontalCentered="1"/>
  <pageMargins left="0.5" right="0.5" top="0.5" bottom="0.5" header="0.5" footer="0.5"/>
  <pageSetup scale="90" fitToHeight="0" orientation="landscape" r:id="rId4"/>
  <headerFooter alignWithMargins="0"/>
  <legacyDrawing r:id="rId5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" id="{31F5715F-ACEF-4061-B294-D592E90A1EA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M4:M9</xm:sqref>
        </x14:conditionalFormatting>
        <x14:conditionalFormatting xmlns:xm="http://schemas.microsoft.com/office/excel/2006/main">
          <x14:cfRule type="iconSet" priority="23" id="{F329663D-0E15-499B-8B3E-26F3996C7BB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M14:M19</xm:sqref>
        </x14:conditionalFormatting>
        <x14:conditionalFormatting xmlns:xm="http://schemas.microsoft.com/office/excel/2006/main">
          <x14:cfRule type="iconSet" priority="15" id="{074D9482-FC5E-416A-9701-9B59E0BA7FFC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M24:M29</xm:sqref>
        </x14:conditionalFormatting>
        <x14:conditionalFormatting xmlns:xm="http://schemas.microsoft.com/office/excel/2006/main">
          <x14:cfRule type="iconSet" priority="14" id="{C96F38CA-31D1-4721-BD41-F7A4D92CA79F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M34:M39</xm:sqref>
        </x14:conditionalFormatting>
        <x14:conditionalFormatting xmlns:xm="http://schemas.microsoft.com/office/excel/2006/main">
          <x14:cfRule type="iconSet" priority="13" id="{AA215740-4446-4A63-8204-372DE709998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M44:M49</xm:sqref>
        </x14:conditionalFormatting>
        <x14:conditionalFormatting xmlns:xm="http://schemas.microsoft.com/office/excel/2006/main">
          <x14:cfRule type="iconSet" priority="12" id="{A9F88634-D751-4BC1-AB36-2BCF65E078D1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O4:O9</xm:sqref>
        </x14:conditionalFormatting>
        <x14:conditionalFormatting xmlns:xm="http://schemas.microsoft.com/office/excel/2006/main">
          <x14:cfRule type="iconSet" priority="24" id="{B14DA15F-F353-4157-9549-14F405C15440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O14:O19</xm:sqref>
        </x14:conditionalFormatting>
        <x14:conditionalFormatting xmlns:xm="http://schemas.microsoft.com/office/excel/2006/main">
          <x14:cfRule type="iconSet" priority="11" id="{2B35AE8C-03C3-4044-A319-B043A506D926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O24:O29</xm:sqref>
        </x14:conditionalFormatting>
        <x14:conditionalFormatting xmlns:xm="http://schemas.microsoft.com/office/excel/2006/main">
          <x14:cfRule type="iconSet" priority="10" id="{9941299F-C1C5-41D2-89D2-41B6C4AB06B8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O34:O39</xm:sqref>
        </x14:conditionalFormatting>
        <x14:conditionalFormatting xmlns:xm="http://schemas.microsoft.com/office/excel/2006/main">
          <x14:cfRule type="iconSet" priority="9" id="{EFD8089B-BF57-4BBB-830C-73AE2AD93DB5}">
            <x14:iconSet iconSet="3Symbols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Symbols" iconId="1"/>
            </x14:iconSet>
          </x14:cfRule>
          <xm:sqref>O44:O49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79"/>
  <sheetViews>
    <sheetView showGridLines="0" zoomScaleNormal="100" workbookViewId="0">
      <selection activeCell="G33" sqref="G33"/>
    </sheetView>
  </sheetViews>
  <sheetFormatPr defaultColWidth="9.28515625" defaultRowHeight="12.75"/>
  <cols>
    <col min="1" max="1" width="24.28515625" style="38" customWidth="1"/>
    <col min="2" max="2" width="6.7109375" style="38" bestFit="1" customWidth="1"/>
    <col min="3" max="3" width="11.85546875" style="38" customWidth="1"/>
    <col min="4" max="4" width="10.42578125" style="38" bestFit="1" customWidth="1"/>
    <col min="5" max="5" width="9.42578125" style="38" bestFit="1" customWidth="1"/>
    <col min="6" max="6" width="4" style="38" bestFit="1" customWidth="1"/>
    <col min="7" max="7" width="59.5703125" style="38" customWidth="1"/>
    <col min="8" max="16384" width="9.28515625" style="38"/>
  </cols>
  <sheetData>
    <row r="1" spans="1:7" ht="15.75">
      <c r="A1" s="108" t="str">
        <f>"Operating Budget: "&amp;Project&amp;" ("&amp;Developer&amp;")"</f>
        <v>Operating Budget:  ()</v>
      </c>
      <c r="B1" s="108"/>
      <c r="C1" s="108"/>
      <c r="D1" s="108"/>
      <c r="E1" s="108"/>
      <c r="F1" s="108"/>
      <c r="G1" s="108"/>
    </row>
    <row r="3" spans="1:7">
      <c r="A3" s="283" t="s">
        <v>131</v>
      </c>
      <c r="B3" s="276"/>
      <c r="C3" s="197" t="s">
        <v>33</v>
      </c>
      <c r="D3" s="197" t="s">
        <v>34</v>
      </c>
      <c r="E3" s="234" t="s">
        <v>132</v>
      </c>
      <c r="G3" s="38" t="s">
        <v>133</v>
      </c>
    </row>
    <row r="4" spans="1:7">
      <c r="A4" s="213" t="s">
        <v>86</v>
      </c>
      <c r="B4" s="213"/>
      <c r="C4" s="282">
        <f>'2)Units&amp;Revenue'!I54</f>
        <v>0</v>
      </c>
      <c r="D4" s="282" t="e">
        <f>C4/Units</f>
        <v>#DIV/0!</v>
      </c>
      <c r="E4" s="213"/>
      <c r="G4" s="259"/>
    </row>
    <row r="5" spans="1:7">
      <c r="A5" s="38" t="s">
        <v>134</v>
      </c>
      <c r="C5" s="281">
        <f>'2)Units&amp;Revenue'!I63</f>
        <v>0</v>
      </c>
      <c r="D5" s="281" t="e">
        <f>C5/Units</f>
        <v>#DIV/0!</v>
      </c>
      <c r="G5" s="259"/>
    </row>
    <row r="6" spans="1:7">
      <c r="A6" s="38" t="s">
        <v>78</v>
      </c>
      <c r="C6" s="281">
        <f>C4+C5</f>
        <v>0</v>
      </c>
      <c r="D6" s="281" t="e">
        <f>C6/Units</f>
        <v>#DIV/0!</v>
      </c>
      <c r="G6" s="259"/>
    </row>
    <row r="7" spans="1:7">
      <c r="A7" s="276" t="s">
        <v>135</v>
      </c>
      <c r="B7" s="260">
        <v>0.05</v>
      </c>
      <c r="C7" s="291">
        <f>C6*B7</f>
        <v>0</v>
      </c>
      <c r="D7" s="291" t="e">
        <f>C7/Units</f>
        <v>#DIV/0!</v>
      </c>
      <c r="E7" s="276"/>
      <c r="G7" s="261"/>
    </row>
    <row r="8" spans="1:7">
      <c r="A8" s="136" t="s">
        <v>136</v>
      </c>
      <c r="C8" s="279">
        <f>C6-C7</f>
        <v>0</v>
      </c>
      <c r="D8" s="279" t="e">
        <f>C8/Units</f>
        <v>#DIV/0!</v>
      </c>
      <c r="E8" s="290" t="e">
        <f>C8/$C$8</f>
        <v>#DIV/0!</v>
      </c>
    </row>
    <row r="9" spans="1:7">
      <c r="C9" s="281"/>
      <c r="D9" s="281"/>
    </row>
    <row r="10" spans="1:7">
      <c r="A10" s="283" t="s">
        <v>137</v>
      </c>
      <c r="B10" s="276"/>
      <c r="C10" s="291"/>
      <c r="D10" s="291"/>
      <c r="E10" s="276"/>
    </row>
    <row r="11" spans="1:7">
      <c r="C11" s="281"/>
      <c r="D11" s="281"/>
    </row>
    <row r="12" spans="1:7">
      <c r="A12" s="136" t="s">
        <v>138</v>
      </c>
      <c r="C12" s="292" t="s">
        <v>33</v>
      </c>
      <c r="D12" s="292" t="s">
        <v>34</v>
      </c>
      <c r="E12" s="156" t="s">
        <v>132</v>
      </c>
      <c r="G12" s="38" t="s">
        <v>133</v>
      </c>
    </row>
    <row r="13" spans="1:7">
      <c r="A13" s="213" t="s">
        <v>139</v>
      </c>
      <c r="B13" s="293"/>
      <c r="C13" s="282">
        <f>E13*C8</f>
        <v>0</v>
      </c>
      <c r="D13" s="282" t="e">
        <f>C13/Units</f>
        <v>#DIV/0!</v>
      </c>
      <c r="E13" s="262">
        <v>0.06</v>
      </c>
      <c r="G13" s="259"/>
    </row>
    <row r="14" spans="1:7">
      <c r="A14" s="38" t="s">
        <v>140</v>
      </c>
      <c r="B14" s="214"/>
      <c r="C14" s="263"/>
      <c r="D14" s="281" t="e">
        <f>C14/Units</f>
        <v>#DIV/0!</v>
      </c>
      <c r="G14" s="259"/>
    </row>
    <row r="15" spans="1:7">
      <c r="A15" s="38" t="s">
        <v>141</v>
      </c>
      <c r="C15" s="263"/>
      <c r="D15" s="281" t="e">
        <f t="shared" ref="D15:D24" si="0">C15/Units</f>
        <v>#DIV/0!</v>
      </c>
      <c r="G15" s="259"/>
    </row>
    <row r="16" spans="1:7">
      <c r="A16" s="38" t="s">
        <v>142</v>
      </c>
      <c r="B16" s="214"/>
      <c r="C16" s="263"/>
      <c r="D16" s="281" t="e">
        <f t="shared" si="0"/>
        <v>#DIV/0!</v>
      </c>
      <c r="G16" s="259"/>
    </row>
    <row r="17" spans="1:7">
      <c r="A17" s="38" t="s">
        <v>143</v>
      </c>
      <c r="B17" s="214"/>
      <c r="C17" s="263"/>
      <c r="D17" s="281" t="e">
        <f t="shared" si="0"/>
        <v>#DIV/0!</v>
      </c>
      <c r="G17" s="259"/>
    </row>
    <row r="18" spans="1:7">
      <c r="A18" s="38" t="s">
        <v>144</v>
      </c>
      <c r="C18" s="263"/>
      <c r="D18" s="281" t="e">
        <f t="shared" si="0"/>
        <v>#DIV/0!</v>
      </c>
      <c r="G18" s="259"/>
    </row>
    <row r="19" spans="1:7">
      <c r="A19" s="38" t="s">
        <v>145</v>
      </c>
      <c r="C19" s="263"/>
      <c r="D19" s="281" t="e">
        <f t="shared" si="0"/>
        <v>#DIV/0!</v>
      </c>
      <c r="G19" s="259"/>
    </row>
    <row r="20" spans="1:7">
      <c r="A20" s="38" t="s">
        <v>146</v>
      </c>
      <c r="C20" s="263"/>
      <c r="D20" s="281" t="e">
        <f t="shared" si="0"/>
        <v>#DIV/0!</v>
      </c>
      <c r="G20" s="259"/>
    </row>
    <row r="21" spans="1:7">
      <c r="A21" s="21" t="s">
        <v>147</v>
      </c>
      <c r="C21" s="263"/>
      <c r="D21" s="281" t="e">
        <f t="shared" si="0"/>
        <v>#DIV/0!</v>
      </c>
      <c r="G21" s="259"/>
    </row>
    <row r="22" spans="1:7">
      <c r="A22" s="21" t="s">
        <v>147</v>
      </c>
      <c r="C22" s="263"/>
      <c r="D22" s="281" t="e">
        <f t="shared" si="0"/>
        <v>#DIV/0!</v>
      </c>
      <c r="G22" s="259"/>
    </row>
    <row r="23" spans="1:7">
      <c r="A23" s="264" t="s">
        <v>147</v>
      </c>
      <c r="B23" s="276"/>
      <c r="C23" s="265"/>
      <c r="D23" s="291" t="e">
        <f t="shared" si="0"/>
        <v>#DIV/0!</v>
      </c>
      <c r="E23" s="276"/>
      <c r="G23" s="259"/>
    </row>
    <row r="24" spans="1:7">
      <c r="A24" s="136" t="s">
        <v>78</v>
      </c>
      <c r="C24" s="279">
        <f>SUM(C13:C23)</f>
        <v>0</v>
      </c>
      <c r="D24" s="279" t="e">
        <f t="shared" si="0"/>
        <v>#DIV/0!</v>
      </c>
      <c r="E24" s="290" t="e">
        <f>C24/$C$8</f>
        <v>#DIV/0!</v>
      </c>
    </row>
    <row r="25" spans="1:7">
      <c r="C25" s="281"/>
      <c r="D25" s="281"/>
    </row>
    <row r="26" spans="1:7">
      <c r="A26" s="136" t="s">
        <v>148</v>
      </c>
      <c r="C26" s="292" t="s">
        <v>33</v>
      </c>
      <c r="D26" s="292" t="s">
        <v>34</v>
      </c>
      <c r="E26" s="156" t="s">
        <v>132</v>
      </c>
      <c r="G26" s="38" t="s">
        <v>133</v>
      </c>
    </row>
    <row r="27" spans="1:7">
      <c r="A27" s="213" t="s">
        <v>149</v>
      </c>
      <c r="B27" s="213"/>
      <c r="C27" s="266"/>
      <c r="D27" s="282" t="e">
        <f t="shared" ref="D27:D38" si="1">C27/Units</f>
        <v>#DIV/0!</v>
      </c>
      <c r="E27" s="213"/>
      <c r="G27" s="259"/>
    </row>
    <row r="28" spans="1:7">
      <c r="A28" s="38" t="s">
        <v>150</v>
      </c>
      <c r="C28" s="263"/>
      <c r="D28" s="281" t="e">
        <f t="shared" si="1"/>
        <v>#DIV/0!</v>
      </c>
      <c r="G28" s="259"/>
    </row>
    <row r="29" spans="1:7">
      <c r="A29" s="38" t="s">
        <v>151</v>
      </c>
      <c r="C29" s="263"/>
      <c r="D29" s="281" t="e">
        <f t="shared" si="1"/>
        <v>#DIV/0!</v>
      </c>
      <c r="G29" s="259"/>
    </row>
    <row r="30" spans="1:7">
      <c r="A30" s="38" t="s">
        <v>152</v>
      </c>
      <c r="C30" s="263"/>
      <c r="D30" s="281" t="e">
        <f t="shared" si="1"/>
        <v>#DIV/0!</v>
      </c>
      <c r="G30" s="259"/>
    </row>
    <row r="31" spans="1:7">
      <c r="A31" s="38" t="s">
        <v>153</v>
      </c>
      <c r="C31" s="263"/>
      <c r="D31" s="281" t="e">
        <f t="shared" si="1"/>
        <v>#DIV/0!</v>
      </c>
      <c r="G31" s="259"/>
    </row>
    <row r="32" spans="1:7">
      <c r="A32" s="38" t="s">
        <v>154</v>
      </c>
      <c r="C32" s="263"/>
      <c r="D32" s="281" t="e">
        <f t="shared" si="1"/>
        <v>#DIV/0!</v>
      </c>
      <c r="G32" s="259"/>
    </row>
    <row r="33" spans="1:7">
      <c r="A33" s="38" t="s">
        <v>155</v>
      </c>
      <c r="C33" s="263"/>
      <c r="D33" s="281" t="e">
        <f t="shared" si="1"/>
        <v>#DIV/0!</v>
      </c>
      <c r="G33" s="259"/>
    </row>
    <row r="34" spans="1:7">
      <c r="A34" s="38" t="s">
        <v>156</v>
      </c>
      <c r="C34" s="263"/>
      <c r="D34" s="281" t="e">
        <f t="shared" si="1"/>
        <v>#DIV/0!</v>
      </c>
      <c r="G34" s="259"/>
    </row>
    <row r="35" spans="1:7">
      <c r="A35" s="21" t="s">
        <v>147</v>
      </c>
      <c r="C35" s="263"/>
      <c r="D35" s="281" t="e">
        <f t="shared" si="1"/>
        <v>#DIV/0!</v>
      </c>
      <c r="G35" s="259"/>
    </row>
    <row r="36" spans="1:7">
      <c r="A36" s="21" t="s">
        <v>147</v>
      </c>
      <c r="C36" s="263"/>
      <c r="D36" s="281" t="e">
        <f t="shared" si="1"/>
        <v>#DIV/0!</v>
      </c>
      <c r="G36" s="261"/>
    </row>
    <row r="37" spans="1:7">
      <c r="A37" s="264" t="s">
        <v>147</v>
      </c>
      <c r="B37" s="276"/>
      <c r="C37" s="265"/>
      <c r="D37" s="291" t="e">
        <f t="shared" si="1"/>
        <v>#DIV/0!</v>
      </c>
      <c r="E37" s="276"/>
      <c r="G37" s="259"/>
    </row>
    <row r="38" spans="1:7">
      <c r="A38" s="136" t="s">
        <v>78</v>
      </c>
      <c r="C38" s="279">
        <f>SUM(C27:C37)</f>
        <v>0</v>
      </c>
      <c r="D38" s="279" t="e">
        <f t="shared" si="1"/>
        <v>#DIV/0!</v>
      </c>
      <c r="E38" s="290" t="e">
        <f>C38/$C$8</f>
        <v>#DIV/0!</v>
      </c>
    </row>
    <row r="39" spans="1:7">
      <c r="C39" s="281"/>
      <c r="D39" s="281"/>
    </row>
    <row r="40" spans="1:7">
      <c r="A40" s="136" t="s">
        <v>157</v>
      </c>
      <c r="C40" s="292" t="s">
        <v>33</v>
      </c>
      <c r="D40" s="292" t="s">
        <v>34</v>
      </c>
      <c r="E40" s="156" t="s">
        <v>132</v>
      </c>
      <c r="G40" s="38" t="s">
        <v>133</v>
      </c>
    </row>
    <row r="41" spans="1:7">
      <c r="A41" s="213" t="s">
        <v>158</v>
      </c>
      <c r="B41" s="213"/>
      <c r="C41" s="266"/>
      <c r="D41" s="282" t="e">
        <f t="shared" ref="D41:D48" si="2">C41/Units</f>
        <v>#DIV/0!</v>
      </c>
      <c r="E41" s="213"/>
      <c r="G41" s="259"/>
    </row>
    <row r="42" spans="1:7">
      <c r="A42" s="38" t="s">
        <v>159</v>
      </c>
      <c r="C42" s="263"/>
      <c r="D42" s="281" t="e">
        <f t="shared" si="2"/>
        <v>#DIV/0!</v>
      </c>
      <c r="G42" s="259"/>
    </row>
    <row r="43" spans="1:7">
      <c r="A43" s="38" t="s">
        <v>160</v>
      </c>
      <c r="C43" s="263"/>
      <c r="D43" s="281" t="e">
        <f t="shared" si="2"/>
        <v>#DIV/0!</v>
      </c>
      <c r="G43" s="259"/>
    </row>
    <row r="44" spans="1:7">
      <c r="A44" s="38" t="s">
        <v>161</v>
      </c>
      <c r="C44" s="263"/>
      <c r="D44" s="281" t="e">
        <f t="shared" si="2"/>
        <v>#DIV/0!</v>
      </c>
      <c r="G44" s="259"/>
    </row>
    <row r="45" spans="1:7">
      <c r="A45" s="21" t="s">
        <v>147</v>
      </c>
      <c r="C45" s="263"/>
      <c r="D45" s="281" t="e">
        <f t="shared" si="2"/>
        <v>#DIV/0!</v>
      </c>
      <c r="G45" s="259"/>
    </row>
    <row r="46" spans="1:7">
      <c r="A46" s="21" t="s">
        <v>147</v>
      </c>
      <c r="C46" s="263"/>
      <c r="D46" s="281" t="e">
        <f t="shared" si="2"/>
        <v>#DIV/0!</v>
      </c>
      <c r="G46" s="259"/>
    </row>
    <row r="47" spans="1:7">
      <c r="A47" s="264" t="s">
        <v>147</v>
      </c>
      <c r="B47" s="276"/>
      <c r="C47" s="265"/>
      <c r="D47" s="291" t="e">
        <f t="shared" si="2"/>
        <v>#DIV/0!</v>
      </c>
      <c r="E47" s="276"/>
      <c r="G47" s="259"/>
    </row>
    <row r="48" spans="1:7">
      <c r="A48" s="136" t="s">
        <v>78</v>
      </c>
      <c r="C48" s="279">
        <f>SUM(C41:C47)</f>
        <v>0</v>
      </c>
      <c r="D48" s="279" t="e">
        <f t="shared" si="2"/>
        <v>#DIV/0!</v>
      </c>
      <c r="E48" s="290" t="e">
        <f>C48/$C$8</f>
        <v>#DIV/0!</v>
      </c>
    </row>
    <row r="49" spans="1:7">
      <c r="C49" s="281"/>
      <c r="D49" s="281"/>
    </row>
    <row r="50" spans="1:7">
      <c r="A50" s="136" t="s">
        <v>162</v>
      </c>
      <c r="C50" s="292" t="s">
        <v>33</v>
      </c>
      <c r="D50" s="292" t="s">
        <v>34</v>
      </c>
      <c r="E50" s="156" t="s">
        <v>132</v>
      </c>
      <c r="G50" s="38" t="s">
        <v>133</v>
      </c>
    </row>
    <row r="51" spans="1:7">
      <c r="A51" s="213" t="s">
        <v>163</v>
      </c>
      <c r="B51" s="213"/>
      <c r="C51" s="266"/>
      <c r="D51" s="282" t="e">
        <f t="shared" ref="D51:D59" si="3">C51/Units</f>
        <v>#DIV/0!</v>
      </c>
      <c r="E51" s="213"/>
      <c r="G51" s="259"/>
    </row>
    <row r="52" spans="1:7">
      <c r="A52" s="38" t="s">
        <v>164</v>
      </c>
      <c r="C52" s="263"/>
      <c r="D52" s="281" t="e">
        <f t="shared" si="3"/>
        <v>#DIV/0!</v>
      </c>
      <c r="G52" s="259"/>
    </row>
    <row r="53" spans="1:7">
      <c r="A53" s="38" t="s">
        <v>165</v>
      </c>
      <c r="C53" s="263"/>
      <c r="D53" s="281" t="e">
        <f t="shared" si="3"/>
        <v>#DIV/0!</v>
      </c>
      <c r="G53" s="259"/>
    </row>
    <row r="54" spans="1:7">
      <c r="A54" s="21" t="s">
        <v>147</v>
      </c>
      <c r="C54" s="263"/>
      <c r="D54" s="281" t="e">
        <f t="shared" ref="D54" si="4">C54/Units</f>
        <v>#DIV/0!</v>
      </c>
      <c r="G54" s="259"/>
    </row>
    <row r="55" spans="1:7">
      <c r="A55" s="21" t="s">
        <v>147</v>
      </c>
      <c r="C55" s="263"/>
      <c r="D55" s="281" t="e">
        <f t="shared" si="3"/>
        <v>#DIV/0!</v>
      </c>
      <c r="G55" s="259"/>
    </row>
    <row r="56" spans="1:7">
      <c r="A56" s="264" t="s">
        <v>147</v>
      </c>
      <c r="B56" s="276"/>
      <c r="C56" s="265"/>
      <c r="D56" s="291" t="e">
        <f t="shared" si="3"/>
        <v>#DIV/0!</v>
      </c>
      <c r="E56" s="276"/>
      <c r="G56" s="259"/>
    </row>
    <row r="57" spans="1:7">
      <c r="A57" s="136" t="s">
        <v>78</v>
      </c>
      <c r="C57" s="279">
        <f>SUM(C51:C56)</f>
        <v>0</v>
      </c>
      <c r="D57" s="279" t="e">
        <f t="shared" si="3"/>
        <v>#DIV/0!</v>
      </c>
      <c r="E57" s="290" t="e">
        <f>C57/$C$8</f>
        <v>#DIV/0!</v>
      </c>
    </row>
    <row r="58" spans="1:7">
      <c r="A58" s="136"/>
      <c r="C58" s="279"/>
      <c r="D58" s="279"/>
      <c r="E58" s="290"/>
    </row>
    <row r="59" spans="1:7">
      <c r="A59" s="288"/>
      <c r="B59" s="289" t="s">
        <v>166</v>
      </c>
      <c r="C59" s="274">
        <f>C57+C48+C38+C24</f>
        <v>0</v>
      </c>
      <c r="D59" s="274" t="e">
        <f t="shared" si="3"/>
        <v>#DIV/0!</v>
      </c>
      <c r="E59" s="287" t="e">
        <f>C59/$C$8</f>
        <v>#DIV/0!</v>
      </c>
      <c r="G59" s="259"/>
    </row>
    <row r="60" spans="1:7">
      <c r="C60" s="281"/>
      <c r="D60" s="281"/>
    </row>
    <row r="61" spans="1:7">
      <c r="A61" s="271" t="s">
        <v>167</v>
      </c>
      <c r="B61" s="272"/>
      <c r="C61" s="274">
        <f>D61*Units</f>
        <v>0</v>
      </c>
      <c r="D61" s="267">
        <v>300</v>
      </c>
      <c r="E61" s="287" t="e">
        <f>C61/$C$8</f>
        <v>#DIV/0!</v>
      </c>
      <c r="G61" s="259"/>
    </row>
    <row r="62" spans="1:7">
      <c r="A62" s="136"/>
      <c r="C62" s="281"/>
      <c r="D62" s="281"/>
      <c r="G62" s="286"/>
    </row>
    <row r="63" spans="1:7">
      <c r="A63" s="283" t="s">
        <v>168</v>
      </c>
      <c r="B63" s="276"/>
      <c r="C63" s="284">
        <f>C59+C61</f>
        <v>0</v>
      </c>
      <c r="D63" s="284" t="e">
        <f t="shared" ref="D63" si="5">C63/Units</f>
        <v>#DIV/0!</v>
      </c>
      <c r="E63" s="285" t="e">
        <f>C63/$C$8</f>
        <v>#DIV/0!</v>
      </c>
      <c r="G63" s="286"/>
    </row>
    <row r="64" spans="1:7">
      <c r="C64" s="281"/>
      <c r="D64" s="281"/>
      <c r="E64" s="136"/>
      <c r="G64" s="286"/>
    </row>
    <row r="65" spans="1:7">
      <c r="A65" s="283" t="s">
        <v>169</v>
      </c>
      <c r="B65" s="276"/>
      <c r="C65" s="284">
        <f>C8-C63</f>
        <v>0</v>
      </c>
      <c r="D65" s="284" t="e">
        <f t="shared" ref="D65" si="6">C65/Units</f>
        <v>#DIV/0!</v>
      </c>
      <c r="E65" s="285" t="e">
        <f>C65/$C$8</f>
        <v>#DIV/0!</v>
      </c>
    </row>
    <row r="66" spans="1:7">
      <c r="C66" s="281"/>
      <c r="D66" s="281"/>
    </row>
    <row r="67" spans="1:7">
      <c r="A67" s="283" t="s">
        <v>170</v>
      </c>
      <c r="B67" s="276"/>
      <c r="C67" s="197" t="s">
        <v>33</v>
      </c>
      <c r="D67" s="197" t="s">
        <v>34</v>
      </c>
      <c r="E67" s="234" t="s">
        <v>132</v>
      </c>
      <c r="G67" s="38" t="s">
        <v>133</v>
      </c>
    </row>
    <row r="68" spans="1:7">
      <c r="A68" s="213" t="s">
        <v>171</v>
      </c>
      <c r="B68" s="213"/>
      <c r="C68" s="268">
        <v>1.2</v>
      </c>
      <c r="D68" s="282"/>
      <c r="E68" s="213"/>
      <c r="G68" s="259"/>
    </row>
    <row r="69" spans="1:7">
      <c r="A69" s="38" t="s">
        <v>172</v>
      </c>
      <c r="C69" s="281">
        <f>C65/C68</f>
        <v>0</v>
      </c>
      <c r="D69" s="281"/>
      <c r="G69" s="259"/>
    </row>
    <row r="70" spans="1:7">
      <c r="A70" s="38" t="s">
        <v>416</v>
      </c>
      <c r="C70" s="35">
        <v>50</v>
      </c>
      <c r="D70" s="281"/>
      <c r="G70" s="259"/>
    </row>
    <row r="71" spans="1:7">
      <c r="A71" s="38" t="s">
        <v>173</v>
      </c>
      <c r="C71" s="269">
        <v>0.02</v>
      </c>
      <c r="D71" s="281"/>
      <c r="G71" s="259"/>
    </row>
    <row r="72" spans="1:7">
      <c r="A72" s="38" t="s">
        <v>174</v>
      </c>
      <c r="C72" s="281">
        <f>IFERROR(ROUND(PV(C71/12,C70*12,C69/12*-1),0),"Cannot Calculate")</f>
        <v>0</v>
      </c>
      <c r="D72" s="281"/>
      <c r="G72" s="259"/>
    </row>
    <row r="73" spans="1:7">
      <c r="A73" s="136" t="s">
        <v>175</v>
      </c>
      <c r="C73" s="270"/>
      <c r="D73" s="23" t="str">
        <f>IFERROR("Variance of "&amp;ROUND(100*(C73-C72)/C72,1)&amp;"% from calculation","Cannot calculate variance")</f>
        <v>Cannot calculate variance</v>
      </c>
      <c r="G73" s="259"/>
    </row>
    <row r="74" spans="1:7">
      <c r="A74" s="136" t="s">
        <v>176</v>
      </c>
      <c r="C74" s="279">
        <f>PMT(C71/12,C70*12,-C73)*12</f>
        <v>0</v>
      </c>
      <c r="D74" s="279" t="e">
        <f>C74/Units</f>
        <v>#DIV/0!</v>
      </c>
      <c r="E74" s="280" t="e">
        <f>C74/$C$8</f>
        <v>#DIV/0!</v>
      </c>
      <c r="G74" s="259"/>
    </row>
    <row r="75" spans="1:7">
      <c r="A75" s="276" t="s">
        <v>177</v>
      </c>
      <c r="B75" s="276"/>
      <c r="C75" s="277" t="str">
        <f>IF(C73=0,"n/a",ROUND(C65/C74,2))</f>
        <v>n/a</v>
      </c>
      <c r="D75" s="276"/>
      <c r="E75" s="276"/>
    </row>
    <row r="76" spans="1:7">
      <c r="C76" s="278" t="s">
        <v>33</v>
      </c>
      <c r="D76" s="278" t="s">
        <v>34</v>
      </c>
      <c r="E76" s="156" t="s">
        <v>132</v>
      </c>
    </row>
    <row r="77" spans="1:7">
      <c r="A77" s="271" t="s">
        <v>178</v>
      </c>
      <c r="B77" s="272"/>
      <c r="C77" s="273">
        <f>C65-C74</f>
        <v>0</v>
      </c>
      <c r="D77" s="274" t="e">
        <f>C77/Units</f>
        <v>#DIV/0!</v>
      </c>
      <c r="E77" s="275" t="e">
        <f>C77/$C$8</f>
        <v>#DIV/0!</v>
      </c>
      <c r="G77" s="259"/>
    </row>
    <row r="79" spans="1:7">
      <c r="C79" s="172"/>
    </row>
  </sheetData>
  <sheetProtection algorithmName="SHA-512" hashValue="5bS7cDbsDG4nfjpc/2PZrN2fixgrKSKnf0LeSQnUISJAnFeWvy81DcNXAJFeJXlqzloqCDHs0tl069g/T6BbGg==" saltValue="lesgIQwi04JKlyAm+zRYYg==" spinCount="100000" sheet="1" objects="1" scenarios="1" selectLockedCells="1"/>
  <mergeCells count="1">
    <mergeCell ref="A1:G1"/>
  </mergeCells>
  <phoneticPr fontId="0" type="noConversion"/>
  <conditionalFormatting sqref="D73">
    <cfRule type="cellIs" dxfId="0" priority="1" operator="lessThan">
      <formula>0</formula>
    </cfRule>
  </conditionalFormatting>
  <printOptions horizontalCentered="1"/>
  <pageMargins left="0.5" right="0.5" top="0.5" bottom="0.5" header="0.5" footer="0.5"/>
  <pageSetup fitToHeight="0" orientation="landscape" r:id="rId1"/>
  <headerFooter alignWithMargins="0"/>
  <rowBreaks count="1" manualBreakCount="1">
    <brk id="3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55"/>
  <sheetViews>
    <sheetView showGridLines="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4" sqref="B14"/>
    </sheetView>
  </sheetViews>
  <sheetFormatPr defaultColWidth="9.28515625" defaultRowHeight="12.75" outlineLevelRow="1"/>
  <cols>
    <col min="1" max="1" width="40.42578125" style="38" customWidth="1"/>
    <col min="2" max="2" width="13.28515625" style="38" customWidth="1"/>
    <col min="3" max="3" width="10.42578125" style="38" bestFit="1" customWidth="1"/>
    <col min="4" max="4" width="11.140625" style="38" bestFit="1" customWidth="1"/>
    <col min="5" max="5" width="11.28515625" style="38" bestFit="1" customWidth="1"/>
    <col min="6" max="12" width="12.140625" style="38" bestFit="1" customWidth="1"/>
    <col min="13" max="13" width="11.140625" style="38" bestFit="1" customWidth="1"/>
    <col min="14" max="15" width="12.140625" style="38" bestFit="1" customWidth="1"/>
    <col min="16" max="17" width="12" style="38" bestFit="1" customWidth="1"/>
    <col min="18" max="18" width="11" style="38" bestFit="1" customWidth="1"/>
    <col min="19" max="22" width="12" style="38" bestFit="1" customWidth="1"/>
    <col min="23" max="23" width="13.42578125" style="38" customWidth="1"/>
    <col min="24" max="24" width="19" style="38" bestFit="1" customWidth="1"/>
    <col min="25" max="16384" width="9.28515625" style="38"/>
  </cols>
  <sheetData>
    <row r="1" spans="1:22">
      <c r="A1" s="306" t="s">
        <v>179</v>
      </c>
      <c r="B1" s="306"/>
      <c r="C1" s="306" t="str">
        <f>Project&amp;" ("&amp;Developer&amp;")"</f>
        <v xml:space="preserve"> ()</v>
      </c>
      <c r="D1" s="306"/>
      <c r="E1" s="306"/>
      <c r="F1" s="306"/>
      <c r="G1" s="306"/>
      <c r="H1" s="306"/>
      <c r="I1" s="306"/>
      <c r="J1" s="306"/>
      <c r="K1" s="306"/>
      <c r="L1" s="306"/>
      <c r="M1" s="306" t="str">
        <f>Project&amp;" ("&amp;Developer&amp;")"</f>
        <v xml:space="preserve"> ()</v>
      </c>
      <c r="N1" s="306"/>
      <c r="O1" s="306"/>
      <c r="P1" s="306"/>
      <c r="Q1" s="306"/>
      <c r="R1" s="306"/>
      <c r="S1" s="306"/>
      <c r="T1" s="306"/>
      <c r="U1" s="306"/>
      <c r="V1" s="306"/>
    </row>
    <row r="3" spans="1:22">
      <c r="C3" s="307" t="s">
        <v>180</v>
      </c>
      <c r="D3" s="307" t="s">
        <v>180</v>
      </c>
      <c r="E3" s="307" t="s">
        <v>180</v>
      </c>
      <c r="F3" s="307" t="s">
        <v>180</v>
      </c>
      <c r="G3" s="307" t="s">
        <v>180</v>
      </c>
      <c r="H3" s="307" t="s">
        <v>180</v>
      </c>
      <c r="I3" s="307" t="s">
        <v>180</v>
      </c>
      <c r="J3" s="307" t="s">
        <v>180</v>
      </c>
      <c r="K3" s="307" t="s">
        <v>180</v>
      </c>
      <c r="L3" s="307" t="s">
        <v>180</v>
      </c>
      <c r="M3" s="307" t="s">
        <v>180</v>
      </c>
      <c r="N3" s="307" t="s">
        <v>180</v>
      </c>
      <c r="O3" s="307" t="s">
        <v>180</v>
      </c>
      <c r="P3" s="307" t="s">
        <v>180</v>
      </c>
      <c r="Q3" s="307" t="s">
        <v>180</v>
      </c>
      <c r="R3" s="307" t="s">
        <v>180</v>
      </c>
      <c r="S3" s="307" t="s">
        <v>180</v>
      </c>
      <c r="T3" s="307" t="s">
        <v>180</v>
      </c>
      <c r="U3" s="307" t="s">
        <v>180</v>
      </c>
      <c r="V3" s="307" t="s">
        <v>180</v>
      </c>
    </row>
    <row r="4" spans="1:22" s="307" customFormat="1">
      <c r="C4" s="307">
        <v>1</v>
      </c>
      <c r="D4" s="307">
        <v>2</v>
      </c>
      <c r="E4" s="307">
        <v>3</v>
      </c>
      <c r="F4" s="307">
        <v>4</v>
      </c>
      <c r="G4" s="307">
        <v>5</v>
      </c>
      <c r="H4" s="307">
        <v>6</v>
      </c>
      <c r="I4" s="307">
        <v>7</v>
      </c>
      <c r="J4" s="307">
        <v>8</v>
      </c>
      <c r="K4" s="307">
        <v>9</v>
      </c>
      <c r="L4" s="307">
        <v>10</v>
      </c>
      <c r="M4" s="307">
        <v>11</v>
      </c>
      <c r="N4" s="307">
        <v>12</v>
      </c>
      <c r="O4" s="307">
        <v>13</v>
      </c>
      <c r="P4" s="307">
        <v>14</v>
      </c>
      <c r="Q4" s="307">
        <v>15</v>
      </c>
      <c r="R4" s="307">
        <v>16</v>
      </c>
      <c r="S4" s="307">
        <v>17</v>
      </c>
      <c r="T4" s="307">
        <v>18</v>
      </c>
      <c r="U4" s="307">
        <v>19</v>
      </c>
      <c r="V4" s="307">
        <v>20</v>
      </c>
    </row>
    <row r="5" spans="1:22">
      <c r="A5" s="136" t="s">
        <v>131</v>
      </c>
      <c r="B5" s="172" t="s">
        <v>181</v>
      </c>
    </row>
    <row r="6" spans="1:22">
      <c r="A6" s="213" t="s">
        <v>86</v>
      </c>
      <c r="B6" s="262">
        <v>0.02</v>
      </c>
      <c r="C6" s="282">
        <f>'3)Operating Budget'!C4</f>
        <v>0</v>
      </c>
      <c r="D6" s="282">
        <f>C6*(1+$B$6)</f>
        <v>0</v>
      </c>
      <c r="E6" s="282">
        <f>D6*(1+$B$6)</f>
        <v>0</v>
      </c>
      <c r="F6" s="282">
        <f t="shared" ref="F6:V6" si="0">E6*(1+$B$6)</f>
        <v>0</v>
      </c>
      <c r="G6" s="282">
        <f t="shared" si="0"/>
        <v>0</v>
      </c>
      <c r="H6" s="282">
        <f t="shared" si="0"/>
        <v>0</v>
      </c>
      <c r="I6" s="282">
        <f t="shared" si="0"/>
        <v>0</v>
      </c>
      <c r="J6" s="282">
        <f t="shared" si="0"/>
        <v>0</v>
      </c>
      <c r="K6" s="282">
        <f t="shared" si="0"/>
        <v>0</v>
      </c>
      <c r="L6" s="282">
        <f t="shared" si="0"/>
        <v>0</v>
      </c>
      <c r="M6" s="282">
        <f t="shared" si="0"/>
        <v>0</v>
      </c>
      <c r="N6" s="282">
        <f t="shared" si="0"/>
        <v>0</v>
      </c>
      <c r="O6" s="282">
        <f t="shared" si="0"/>
        <v>0</v>
      </c>
      <c r="P6" s="282">
        <f t="shared" si="0"/>
        <v>0</v>
      </c>
      <c r="Q6" s="282">
        <f t="shared" si="0"/>
        <v>0</v>
      </c>
      <c r="R6" s="282">
        <f t="shared" si="0"/>
        <v>0</v>
      </c>
      <c r="S6" s="282">
        <f t="shared" si="0"/>
        <v>0</v>
      </c>
      <c r="T6" s="282">
        <f t="shared" si="0"/>
        <v>0</v>
      </c>
      <c r="U6" s="282">
        <f t="shared" si="0"/>
        <v>0</v>
      </c>
      <c r="V6" s="282">
        <f t="shared" si="0"/>
        <v>0</v>
      </c>
    </row>
    <row r="7" spans="1:22">
      <c r="A7" s="38" t="s">
        <v>88</v>
      </c>
      <c r="B7" s="294">
        <v>0.02</v>
      </c>
      <c r="C7" s="281">
        <f>'3)Operating Budget'!C5</f>
        <v>0</v>
      </c>
      <c r="D7" s="281">
        <f>C7*(1+$B$7)</f>
        <v>0</v>
      </c>
      <c r="E7" s="281">
        <f t="shared" ref="E7:V7" si="1">D7*(1+$B$7)</f>
        <v>0</v>
      </c>
      <c r="F7" s="281">
        <f t="shared" si="1"/>
        <v>0</v>
      </c>
      <c r="G7" s="281">
        <f t="shared" si="1"/>
        <v>0</v>
      </c>
      <c r="H7" s="281">
        <f t="shared" si="1"/>
        <v>0</v>
      </c>
      <c r="I7" s="281">
        <f t="shared" si="1"/>
        <v>0</v>
      </c>
      <c r="J7" s="281">
        <f t="shared" si="1"/>
        <v>0</v>
      </c>
      <c r="K7" s="281">
        <f t="shared" si="1"/>
        <v>0</v>
      </c>
      <c r="L7" s="281">
        <f t="shared" si="1"/>
        <v>0</v>
      </c>
      <c r="M7" s="281">
        <f t="shared" si="1"/>
        <v>0</v>
      </c>
      <c r="N7" s="281">
        <f t="shared" si="1"/>
        <v>0</v>
      </c>
      <c r="O7" s="281">
        <f t="shared" si="1"/>
        <v>0</v>
      </c>
      <c r="P7" s="281">
        <f t="shared" si="1"/>
        <v>0</v>
      </c>
      <c r="Q7" s="281">
        <f t="shared" si="1"/>
        <v>0</v>
      </c>
      <c r="R7" s="281">
        <f t="shared" si="1"/>
        <v>0</v>
      </c>
      <c r="S7" s="281">
        <f t="shared" si="1"/>
        <v>0</v>
      </c>
      <c r="T7" s="281">
        <f t="shared" si="1"/>
        <v>0</v>
      </c>
      <c r="U7" s="281">
        <f t="shared" si="1"/>
        <v>0</v>
      </c>
      <c r="V7" s="281">
        <f t="shared" si="1"/>
        <v>0</v>
      </c>
    </row>
    <row r="8" spans="1:22">
      <c r="A8" s="38" t="s">
        <v>135</v>
      </c>
      <c r="B8" s="305">
        <f>'3)Operating Budget'!B7</f>
        <v>0.05</v>
      </c>
      <c r="C8" s="281">
        <f t="shared" ref="C8:V8" si="2">(C6+C7)*$B$8</f>
        <v>0</v>
      </c>
      <c r="D8" s="281">
        <f t="shared" si="2"/>
        <v>0</v>
      </c>
      <c r="E8" s="281">
        <f t="shared" si="2"/>
        <v>0</v>
      </c>
      <c r="F8" s="281">
        <f t="shared" si="2"/>
        <v>0</v>
      </c>
      <c r="G8" s="281">
        <f t="shared" si="2"/>
        <v>0</v>
      </c>
      <c r="H8" s="281">
        <f t="shared" si="2"/>
        <v>0</v>
      </c>
      <c r="I8" s="281">
        <f t="shared" si="2"/>
        <v>0</v>
      </c>
      <c r="J8" s="281">
        <f t="shared" si="2"/>
        <v>0</v>
      </c>
      <c r="K8" s="281">
        <f t="shared" si="2"/>
        <v>0</v>
      </c>
      <c r="L8" s="281">
        <f t="shared" si="2"/>
        <v>0</v>
      </c>
      <c r="M8" s="281">
        <f t="shared" si="2"/>
        <v>0</v>
      </c>
      <c r="N8" s="281">
        <f t="shared" si="2"/>
        <v>0</v>
      </c>
      <c r="O8" s="281">
        <f t="shared" si="2"/>
        <v>0</v>
      </c>
      <c r="P8" s="281">
        <f t="shared" si="2"/>
        <v>0</v>
      </c>
      <c r="Q8" s="281">
        <f t="shared" si="2"/>
        <v>0</v>
      </c>
      <c r="R8" s="281">
        <f t="shared" si="2"/>
        <v>0</v>
      </c>
      <c r="S8" s="281">
        <f t="shared" si="2"/>
        <v>0</v>
      </c>
      <c r="T8" s="281">
        <f t="shared" si="2"/>
        <v>0</v>
      </c>
      <c r="U8" s="281">
        <f t="shared" si="2"/>
        <v>0</v>
      </c>
      <c r="V8" s="281">
        <f t="shared" si="2"/>
        <v>0</v>
      </c>
    </row>
    <row r="9" spans="1:22">
      <c r="A9" s="283" t="s">
        <v>182</v>
      </c>
      <c r="B9" s="276"/>
      <c r="C9" s="291">
        <f>C6+C7-C8</f>
        <v>0</v>
      </c>
      <c r="D9" s="291">
        <f t="shared" ref="D9:V9" si="3">D6+D7-D8</f>
        <v>0</v>
      </c>
      <c r="E9" s="291">
        <f t="shared" si="3"/>
        <v>0</v>
      </c>
      <c r="F9" s="291">
        <f t="shared" si="3"/>
        <v>0</v>
      </c>
      <c r="G9" s="291">
        <f t="shared" si="3"/>
        <v>0</v>
      </c>
      <c r="H9" s="291">
        <f t="shared" si="3"/>
        <v>0</v>
      </c>
      <c r="I9" s="291">
        <f t="shared" si="3"/>
        <v>0</v>
      </c>
      <c r="J9" s="291">
        <f t="shared" si="3"/>
        <v>0</v>
      </c>
      <c r="K9" s="291">
        <f t="shared" si="3"/>
        <v>0</v>
      </c>
      <c r="L9" s="291">
        <f t="shared" si="3"/>
        <v>0</v>
      </c>
      <c r="M9" s="291">
        <f t="shared" si="3"/>
        <v>0</v>
      </c>
      <c r="N9" s="291">
        <f t="shared" si="3"/>
        <v>0</v>
      </c>
      <c r="O9" s="291">
        <f t="shared" si="3"/>
        <v>0</v>
      </c>
      <c r="P9" s="291">
        <f t="shared" si="3"/>
        <v>0</v>
      </c>
      <c r="Q9" s="291">
        <f t="shared" si="3"/>
        <v>0</v>
      </c>
      <c r="R9" s="291">
        <f t="shared" si="3"/>
        <v>0</v>
      </c>
      <c r="S9" s="291">
        <f t="shared" si="3"/>
        <v>0</v>
      </c>
      <c r="T9" s="291">
        <f t="shared" si="3"/>
        <v>0</v>
      </c>
      <c r="U9" s="291">
        <f t="shared" si="3"/>
        <v>0</v>
      </c>
      <c r="V9" s="291">
        <f t="shared" si="3"/>
        <v>0</v>
      </c>
    </row>
    <row r="10" spans="1:22">
      <c r="A10" s="299"/>
      <c r="B10" s="299" t="s">
        <v>34</v>
      </c>
      <c r="C10" s="281" t="e">
        <f t="shared" ref="C10:V10" si="4">C9/Units</f>
        <v>#DIV/0!</v>
      </c>
      <c r="D10" s="281" t="e">
        <f t="shared" si="4"/>
        <v>#DIV/0!</v>
      </c>
      <c r="E10" s="281" t="e">
        <f t="shared" si="4"/>
        <v>#DIV/0!</v>
      </c>
      <c r="F10" s="281" t="e">
        <f t="shared" si="4"/>
        <v>#DIV/0!</v>
      </c>
      <c r="G10" s="281" t="e">
        <f t="shared" si="4"/>
        <v>#DIV/0!</v>
      </c>
      <c r="H10" s="281" t="e">
        <f t="shared" si="4"/>
        <v>#DIV/0!</v>
      </c>
      <c r="I10" s="281" t="e">
        <f t="shared" si="4"/>
        <v>#DIV/0!</v>
      </c>
      <c r="J10" s="281" t="e">
        <f t="shared" si="4"/>
        <v>#DIV/0!</v>
      </c>
      <c r="K10" s="281" t="e">
        <f t="shared" si="4"/>
        <v>#DIV/0!</v>
      </c>
      <c r="L10" s="281" t="e">
        <f t="shared" si="4"/>
        <v>#DIV/0!</v>
      </c>
      <c r="M10" s="281" t="e">
        <f t="shared" si="4"/>
        <v>#DIV/0!</v>
      </c>
      <c r="N10" s="281" t="e">
        <f t="shared" si="4"/>
        <v>#DIV/0!</v>
      </c>
      <c r="O10" s="281" t="e">
        <f t="shared" si="4"/>
        <v>#DIV/0!</v>
      </c>
      <c r="P10" s="281" t="e">
        <f t="shared" si="4"/>
        <v>#DIV/0!</v>
      </c>
      <c r="Q10" s="281" t="e">
        <f t="shared" si="4"/>
        <v>#DIV/0!</v>
      </c>
      <c r="R10" s="281" t="e">
        <f t="shared" si="4"/>
        <v>#DIV/0!</v>
      </c>
      <c r="S10" s="281" t="e">
        <f t="shared" si="4"/>
        <v>#DIV/0!</v>
      </c>
      <c r="T10" s="281" t="e">
        <f t="shared" si="4"/>
        <v>#DIV/0!</v>
      </c>
      <c r="U10" s="281" t="e">
        <f t="shared" si="4"/>
        <v>#DIV/0!</v>
      </c>
      <c r="V10" s="281" t="e">
        <f t="shared" si="4"/>
        <v>#DIV/0!</v>
      </c>
    </row>
    <row r="11" spans="1:22" ht="10.5" customHeight="1"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</row>
    <row r="12" spans="1:22">
      <c r="A12" s="136" t="s">
        <v>137</v>
      </c>
      <c r="B12" s="172" t="s">
        <v>181</v>
      </c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</row>
    <row r="13" spans="1:22">
      <c r="A13" s="213" t="s">
        <v>138</v>
      </c>
      <c r="B13" s="262">
        <f>3%</f>
        <v>0.03</v>
      </c>
      <c r="C13" s="282">
        <f>'3)Operating Budget'!C24</f>
        <v>0</v>
      </c>
      <c r="D13" s="282">
        <f>C13*(1+$B$13)</f>
        <v>0</v>
      </c>
      <c r="E13" s="282">
        <f t="shared" ref="E13:V13" si="5">D13*(1+$B$13)</f>
        <v>0</v>
      </c>
      <c r="F13" s="282">
        <f t="shared" si="5"/>
        <v>0</v>
      </c>
      <c r="G13" s="282">
        <f t="shared" si="5"/>
        <v>0</v>
      </c>
      <c r="H13" s="282">
        <f t="shared" si="5"/>
        <v>0</v>
      </c>
      <c r="I13" s="282">
        <f t="shared" si="5"/>
        <v>0</v>
      </c>
      <c r="J13" s="282">
        <f t="shared" si="5"/>
        <v>0</v>
      </c>
      <c r="K13" s="282">
        <f t="shared" si="5"/>
        <v>0</v>
      </c>
      <c r="L13" s="282">
        <f t="shared" si="5"/>
        <v>0</v>
      </c>
      <c r="M13" s="282">
        <f t="shared" si="5"/>
        <v>0</v>
      </c>
      <c r="N13" s="282">
        <f t="shared" si="5"/>
        <v>0</v>
      </c>
      <c r="O13" s="282">
        <f t="shared" si="5"/>
        <v>0</v>
      </c>
      <c r="P13" s="282">
        <f t="shared" si="5"/>
        <v>0</v>
      </c>
      <c r="Q13" s="282">
        <f t="shared" si="5"/>
        <v>0</v>
      </c>
      <c r="R13" s="282">
        <f t="shared" si="5"/>
        <v>0</v>
      </c>
      <c r="S13" s="282">
        <f t="shared" si="5"/>
        <v>0</v>
      </c>
      <c r="T13" s="282">
        <f t="shared" si="5"/>
        <v>0</v>
      </c>
      <c r="U13" s="282">
        <f t="shared" si="5"/>
        <v>0</v>
      </c>
      <c r="V13" s="282">
        <f t="shared" si="5"/>
        <v>0</v>
      </c>
    </row>
    <row r="14" spans="1:22">
      <c r="A14" s="38" t="s">
        <v>148</v>
      </c>
      <c r="B14" s="294">
        <f>B13</f>
        <v>0.03</v>
      </c>
      <c r="C14" s="281">
        <f>'3)Operating Budget'!C38</f>
        <v>0</v>
      </c>
      <c r="D14" s="281">
        <f>C14*(1+$B$14)</f>
        <v>0</v>
      </c>
      <c r="E14" s="281">
        <f t="shared" ref="E14:V14" si="6">D14*(1+$B$14)</f>
        <v>0</v>
      </c>
      <c r="F14" s="281">
        <f t="shared" si="6"/>
        <v>0</v>
      </c>
      <c r="G14" s="281">
        <f t="shared" si="6"/>
        <v>0</v>
      </c>
      <c r="H14" s="281">
        <f t="shared" si="6"/>
        <v>0</v>
      </c>
      <c r="I14" s="281">
        <f t="shared" si="6"/>
        <v>0</v>
      </c>
      <c r="J14" s="281">
        <f t="shared" si="6"/>
        <v>0</v>
      </c>
      <c r="K14" s="281">
        <f t="shared" si="6"/>
        <v>0</v>
      </c>
      <c r="L14" s="281">
        <f t="shared" si="6"/>
        <v>0</v>
      </c>
      <c r="M14" s="281">
        <f t="shared" si="6"/>
        <v>0</v>
      </c>
      <c r="N14" s="281">
        <f t="shared" si="6"/>
        <v>0</v>
      </c>
      <c r="O14" s="281">
        <f t="shared" si="6"/>
        <v>0</v>
      </c>
      <c r="P14" s="281">
        <f t="shared" si="6"/>
        <v>0</v>
      </c>
      <c r="Q14" s="281">
        <f t="shared" si="6"/>
        <v>0</v>
      </c>
      <c r="R14" s="281">
        <f t="shared" si="6"/>
        <v>0</v>
      </c>
      <c r="S14" s="281">
        <f t="shared" si="6"/>
        <v>0</v>
      </c>
      <c r="T14" s="281">
        <f t="shared" si="6"/>
        <v>0</v>
      </c>
      <c r="U14" s="281">
        <f t="shared" si="6"/>
        <v>0</v>
      </c>
      <c r="V14" s="281">
        <f t="shared" si="6"/>
        <v>0</v>
      </c>
    </row>
    <row r="15" spans="1:22">
      <c r="A15" s="38" t="s">
        <v>157</v>
      </c>
      <c r="B15" s="294">
        <f>B13</f>
        <v>0.03</v>
      </c>
      <c r="C15" s="281">
        <f>'3)Operating Budget'!C48</f>
        <v>0</v>
      </c>
      <c r="D15" s="281">
        <f>C15*(1+$B$15)</f>
        <v>0</v>
      </c>
      <c r="E15" s="281">
        <f t="shared" ref="E15:V15" si="7">D15*(1+$B$15)</f>
        <v>0</v>
      </c>
      <c r="F15" s="281">
        <f t="shared" si="7"/>
        <v>0</v>
      </c>
      <c r="G15" s="281">
        <f t="shared" si="7"/>
        <v>0</v>
      </c>
      <c r="H15" s="281">
        <f t="shared" si="7"/>
        <v>0</v>
      </c>
      <c r="I15" s="281">
        <f t="shared" si="7"/>
        <v>0</v>
      </c>
      <c r="J15" s="281">
        <f t="shared" si="7"/>
        <v>0</v>
      </c>
      <c r="K15" s="281">
        <f t="shared" si="7"/>
        <v>0</v>
      </c>
      <c r="L15" s="281">
        <f t="shared" si="7"/>
        <v>0</v>
      </c>
      <c r="M15" s="281">
        <f t="shared" si="7"/>
        <v>0</v>
      </c>
      <c r="N15" s="281">
        <f t="shared" si="7"/>
        <v>0</v>
      </c>
      <c r="O15" s="281">
        <f t="shared" si="7"/>
        <v>0</v>
      </c>
      <c r="P15" s="281">
        <f t="shared" si="7"/>
        <v>0</v>
      </c>
      <c r="Q15" s="281">
        <f t="shared" si="7"/>
        <v>0</v>
      </c>
      <c r="R15" s="281">
        <f t="shared" si="7"/>
        <v>0</v>
      </c>
      <c r="S15" s="281">
        <f t="shared" si="7"/>
        <v>0</v>
      </c>
      <c r="T15" s="281">
        <f t="shared" si="7"/>
        <v>0</v>
      </c>
      <c r="U15" s="281">
        <f t="shared" si="7"/>
        <v>0</v>
      </c>
      <c r="V15" s="281">
        <f t="shared" si="7"/>
        <v>0</v>
      </c>
    </row>
    <row r="16" spans="1:22">
      <c r="A16" s="38" t="s">
        <v>162</v>
      </c>
      <c r="B16" s="294">
        <f>B13</f>
        <v>0.03</v>
      </c>
      <c r="C16" s="281">
        <f>'3)Operating Budget'!C57</f>
        <v>0</v>
      </c>
      <c r="D16" s="281">
        <f>C16*(1+$B$16)</f>
        <v>0</v>
      </c>
      <c r="E16" s="281">
        <f t="shared" ref="E16:V16" si="8">D16*(1+$B$16)</f>
        <v>0</v>
      </c>
      <c r="F16" s="281">
        <f t="shared" si="8"/>
        <v>0</v>
      </c>
      <c r="G16" s="281">
        <f t="shared" si="8"/>
        <v>0</v>
      </c>
      <c r="H16" s="281">
        <f t="shared" si="8"/>
        <v>0</v>
      </c>
      <c r="I16" s="281">
        <f t="shared" si="8"/>
        <v>0</v>
      </c>
      <c r="J16" s="281">
        <f t="shared" si="8"/>
        <v>0</v>
      </c>
      <c r="K16" s="281">
        <f t="shared" si="8"/>
        <v>0</v>
      </c>
      <c r="L16" s="281">
        <f t="shared" si="8"/>
        <v>0</v>
      </c>
      <c r="M16" s="281">
        <f t="shared" si="8"/>
        <v>0</v>
      </c>
      <c r="N16" s="281">
        <f t="shared" si="8"/>
        <v>0</v>
      </c>
      <c r="O16" s="281">
        <f t="shared" si="8"/>
        <v>0</v>
      </c>
      <c r="P16" s="281">
        <f t="shared" si="8"/>
        <v>0</v>
      </c>
      <c r="Q16" s="281">
        <f t="shared" si="8"/>
        <v>0</v>
      </c>
      <c r="R16" s="281">
        <f t="shared" si="8"/>
        <v>0</v>
      </c>
      <c r="S16" s="281">
        <f t="shared" si="8"/>
        <v>0</v>
      </c>
      <c r="T16" s="281">
        <f t="shared" si="8"/>
        <v>0</v>
      </c>
      <c r="U16" s="281">
        <f t="shared" si="8"/>
        <v>0</v>
      </c>
      <c r="V16" s="281">
        <f t="shared" si="8"/>
        <v>0</v>
      </c>
    </row>
    <row r="17" spans="1:26">
      <c r="A17" s="303" t="s">
        <v>183</v>
      </c>
      <c r="C17" s="304">
        <f>SUM(C13:C16)</f>
        <v>0</v>
      </c>
      <c r="D17" s="304">
        <f t="shared" ref="D17:V17" si="9">SUM(D13:D16)</f>
        <v>0</v>
      </c>
      <c r="E17" s="304">
        <f t="shared" si="9"/>
        <v>0</v>
      </c>
      <c r="F17" s="304">
        <f t="shared" si="9"/>
        <v>0</v>
      </c>
      <c r="G17" s="304">
        <f t="shared" si="9"/>
        <v>0</v>
      </c>
      <c r="H17" s="304">
        <f t="shared" si="9"/>
        <v>0</v>
      </c>
      <c r="I17" s="304">
        <f t="shared" si="9"/>
        <v>0</v>
      </c>
      <c r="J17" s="304">
        <f t="shared" si="9"/>
        <v>0</v>
      </c>
      <c r="K17" s="304">
        <f t="shared" si="9"/>
        <v>0</v>
      </c>
      <c r="L17" s="304">
        <f t="shared" si="9"/>
        <v>0</v>
      </c>
      <c r="M17" s="304">
        <f t="shared" si="9"/>
        <v>0</v>
      </c>
      <c r="N17" s="304">
        <f t="shared" si="9"/>
        <v>0</v>
      </c>
      <c r="O17" s="304">
        <f t="shared" si="9"/>
        <v>0</v>
      </c>
      <c r="P17" s="304">
        <f t="shared" si="9"/>
        <v>0</v>
      </c>
      <c r="Q17" s="304">
        <f t="shared" si="9"/>
        <v>0</v>
      </c>
      <c r="R17" s="304">
        <f t="shared" si="9"/>
        <v>0</v>
      </c>
      <c r="S17" s="304">
        <f t="shared" si="9"/>
        <v>0</v>
      </c>
      <c r="T17" s="304">
        <f t="shared" si="9"/>
        <v>0</v>
      </c>
      <c r="U17" s="304">
        <f t="shared" si="9"/>
        <v>0</v>
      </c>
      <c r="V17" s="304">
        <f t="shared" si="9"/>
        <v>0</v>
      </c>
    </row>
    <row r="18" spans="1:26">
      <c r="A18" s="276" t="s">
        <v>167</v>
      </c>
      <c r="B18" s="260">
        <f>B13</f>
        <v>0.03</v>
      </c>
      <c r="C18" s="291">
        <f>'3)Operating Budget'!C61</f>
        <v>0</v>
      </c>
      <c r="D18" s="291">
        <f>C18*(1+$B$18)</f>
        <v>0</v>
      </c>
      <c r="E18" s="291">
        <f t="shared" ref="E18:V18" si="10">D18*(1+$B$18)</f>
        <v>0</v>
      </c>
      <c r="F18" s="291">
        <f t="shared" si="10"/>
        <v>0</v>
      </c>
      <c r="G18" s="291">
        <f t="shared" si="10"/>
        <v>0</v>
      </c>
      <c r="H18" s="291">
        <f t="shared" si="10"/>
        <v>0</v>
      </c>
      <c r="I18" s="291">
        <f t="shared" si="10"/>
        <v>0</v>
      </c>
      <c r="J18" s="291">
        <f t="shared" si="10"/>
        <v>0</v>
      </c>
      <c r="K18" s="291">
        <f t="shared" si="10"/>
        <v>0</v>
      </c>
      <c r="L18" s="291">
        <f t="shared" si="10"/>
        <v>0</v>
      </c>
      <c r="M18" s="291">
        <f t="shared" si="10"/>
        <v>0</v>
      </c>
      <c r="N18" s="291">
        <f t="shared" si="10"/>
        <v>0</v>
      </c>
      <c r="O18" s="291">
        <f t="shared" si="10"/>
        <v>0</v>
      </c>
      <c r="P18" s="291">
        <f t="shared" si="10"/>
        <v>0</v>
      </c>
      <c r="Q18" s="291">
        <f t="shared" si="10"/>
        <v>0</v>
      </c>
      <c r="R18" s="291">
        <f t="shared" si="10"/>
        <v>0</v>
      </c>
      <c r="S18" s="291">
        <f t="shared" si="10"/>
        <v>0</v>
      </c>
      <c r="T18" s="291">
        <f t="shared" si="10"/>
        <v>0</v>
      </c>
      <c r="U18" s="291">
        <f t="shared" si="10"/>
        <v>0</v>
      </c>
      <c r="V18" s="291">
        <f t="shared" si="10"/>
        <v>0</v>
      </c>
    </row>
    <row r="19" spans="1:26">
      <c r="A19" s="271" t="s">
        <v>184</v>
      </c>
      <c r="B19" s="272"/>
      <c r="C19" s="296">
        <f>C17+C18</f>
        <v>0</v>
      </c>
      <c r="D19" s="296">
        <f t="shared" ref="D19:V19" si="11">D17+D18</f>
        <v>0</v>
      </c>
      <c r="E19" s="296">
        <f t="shared" si="11"/>
        <v>0</v>
      </c>
      <c r="F19" s="296">
        <f t="shared" si="11"/>
        <v>0</v>
      </c>
      <c r="G19" s="296">
        <f t="shared" si="11"/>
        <v>0</v>
      </c>
      <c r="H19" s="296">
        <f t="shared" si="11"/>
        <v>0</v>
      </c>
      <c r="I19" s="296">
        <f t="shared" si="11"/>
        <v>0</v>
      </c>
      <c r="J19" s="296">
        <f t="shared" si="11"/>
        <v>0</v>
      </c>
      <c r="K19" s="296">
        <f t="shared" si="11"/>
        <v>0</v>
      </c>
      <c r="L19" s="296">
        <f t="shared" si="11"/>
        <v>0</v>
      </c>
      <c r="M19" s="296">
        <f t="shared" si="11"/>
        <v>0</v>
      </c>
      <c r="N19" s="296">
        <f t="shared" si="11"/>
        <v>0</v>
      </c>
      <c r="O19" s="296">
        <f t="shared" si="11"/>
        <v>0</v>
      </c>
      <c r="P19" s="296">
        <f t="shared" si="11"/>
        <v>0</v>
      </c>
      <c r="Q19" s="296">
        <f t="shared" si="11"/>
        <v>0</v>
      </c>
      <c r="R19" s="296">
        <f t="shared" si="11"/>
        <v>0</v>
      </c>
      <c r="S19" s="296">
        <f t="shared" si="11"/>
        <v>0</v>
      </c>
      <c r="T19" s="296">
        <f t="shared" si="11"/>
        <v>0</v>
      </c>
      <c r="U19" s="296">
        <f t="shared" si="11"/>
        <v>0</v>
      </c>
      <c r="V19" s="296">
        <f t="shared" si="11"/>
        <v>0</v>
      </c>
    </row>
    <row r="20" spans="1:26">
      <c r="A20" s="299"/>
      <c r="B20" s="299" t="s">
        <v>34</v>
      </c>
      <c r="C20" s="300" t="e">
        <f t="shared" ref="C20:V20" si="12">C19/Units</f>
        <v>#DIV/0!</v>
      </c>
      <c r="D20" s="300" t="e">
        <f t="shared" si="12"/>
        <v>#DIV/0!</v>
      </c>
      <c r="E20" s="300" t="e">
        <f t="shared" si="12"/>
        <v>#DIV/0!</v>
      </c>
      <c r="F20" s="300" t="e">
        <f t="shared" si="12"/>
        <v>#DIV/0!</v>
      </c>
      <c r="G20" s="300" t="e">
        <f t="shared" si="12"/>
        <v>#DIV/0!</v>
      </c>
      <c r="H20" s="300" t="e">
        <f t="shared" si="12"/>
        <v>#DIV/0!</v>
      </c>
      <c r="I20" s="300" t="e">
        <f t="shared" si="12"/>
        <v>#DIV/0!</v>
      </c>
      <c r="J20" s="300" t="e">
        <f t="shared" si="12"/>
        <v>#DIV/0!</v>
      </c>
      <c r="K20" s="300" t="e">
        <f t="shared" si="12"/>
        <v>#DIV/0!</v>
      </c>
      <c r="L20" s="300" t="e">
        <f t="shared" si="12"/>
        <v>#DIV/0!</v>
      </c>
      <c r="M20" s="300" t="e">
        <f t="shared" si="12"/>
        <v>#DIV/0!</v>
      </c>
      <c r="N20" s="300" t="e">
        <f t="shared" si="12"/>
        <v>#DIV/0!</v>
      </c>
      <c r="O20" s="300" t="e">
        <f t="shared" si="12"/>
        <v>#DIV/0!</v>
      </c>
      <c r="P20" s="300" t="e">
        <f t="shared" si="12"/>
        <v>#DIV/0!</v>
      </c>
      <c r="Q20" s="300" t="e">
        <f t="shared" si="12"/>
        <v>#DIV/0!</v>
      </c>
      <c r="R20" s="300" t="e">
        <f t="shared" si="12"/>
        <v>#DIV/0!</v>
      </c>
      <c r="S20" s="300" t="e">
        <f t="shared" si="12"/>
        <v>#DIV/0!</v>
      </c>
      <c r="T20" s="300" t="e">
        <f t="shared" si="12"/>
        <v>#DIV/0!</v>
      </c>
      <c r="U20" s="300" t="e">
        <f t="shared" si="12"/>
        <v>#DIV/0!</v>
      </c>
      <c r="V20" s="300" t="e">
        <f t="shared" si="12"/>
        <v>#DIV/0!</v>
      </c>
    </row>
    <row r="21" spans="1:26">
      <c r="A21" s="299"/>
      <c r="C21" s="281"/>
      <c r="D21" s="281"/>
      <c r="E21" s="281"/>
      <c r="F21" s="281"/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</row>
    <row r="22" spans="1:26">
      <c r="A22" s="271" t="s">
        <v>169</v>
      </c>
      <c r="B22" s="272"/>
      <c r="C22" s="296">
        <f t="shared" ref="C22:V22" si="13">C9-C19</f>
        <v>0</v>
      </c>
      <c r="D22" s="296">
        <f t="shared" si="13"/>
        <v>0</v>
      </c>
      <c r="E22" s="296">
        <f t="shared" si="13"/>
        <v>0</v>
      </c>
      <c r="F22" s="296">
        <f t="shared" si="13"/>
        <v>0</v>
      </c>
      <c r="G22" s="296">
        <f t="shared" si="13"/>
        <v>0</v>
      </c>
      <c r="H22" s="296">
        <f t="shared" si="13"/>
        <v>0</v>
      </c>
      <c r="I22" s="296">
        <f t="shared" si="13"/>
        <v>0</v>
      </c>
      <c r="J22" s="296">
        <f t="shared" si="13"/>
        <v>0</v>
      </c>
      <c r="K22" s="296">
        <f t="shared" si="13"/>
        <v>0</v>
      </c>
      <c r="L22" s="296">
        <f t="shared" si="13"/>
        <v>0</v>
      </c>
      <c r="M22" s="296">
        <f t="shared" si="13"/>
        <v>0</v>
      </c>
      <c r="N22" s="296">
        <f t="shared" si="13"/>
        <v>0</v>
      </c>
      <c r="O22" s="296">
        <f t="shared" si="13"/>
        <v>0</v>
      </c>
      <c r="P22" s="296">
        <f t="shared" si="13"/>
        <v>0</v>
      </c>
      <c r="Q22" s="296">
        <f t="shared" si="13"/>
        <v>0</v>
      </c>
      <c r="R22" s="296">
        <f t="shared" si="13"/>
        <v>0</v>
      </c>
      <c r="S22" s="296">
        <f t="shared" si="13"/>
        <v>0</v>
      </c>
      <c r="T22" s="296">
        <f t="shared" si="13"/>
        <v>0</v>
      </c>
      <c r="U22" s="296">
        <f t="shared" si="13"/>
        <v>0</v>
      </c>
      <c r="V22" s="296">
        <f t="shared" si="13"/>
        <v>0</v>
      </c>
    </row>
    <row r="23" spans="1:26">
      <c r="A23" s="299"/>
      <c r="B23" s="299" t="s">
        <v>34</v>
      </c>
      <c r="C23" s="300" t="e">
        <f t="shared" ref="C23:V23" si="14">C22/Units</f>
        <v>#DIV/0!</v>
      </c>
      <c r="D23" s="300" t="e">
        <f t="shared" si="14"/>
        <v>#DIV/0!</v>
      </c>
      <c r="E23" s="300" t="e">
        <f t="shared" si="14"/>
        <v>#DIV/0!</v>
      </c>
      <c r="F23" s="300" t="e">
        <f t="shared" si="14"/>
        <v>#DIV/0!</v>
      </c>
      <c r="G23" s="300" t="e">
        <f t="shared" si="14"/>
        <v>#DIV/0!</v>
      </c>
      <c r="H23" s="300" t="e">
        <f t="shared" si="14"/>
        <v>#DIV/0!</v>
      </c>
      <c r="I23" s="300" t="e">
        <f t="shared" si="14"/>
        <v>#DIV/0!</v>
      </c>
      <c r="J23" s="300" t="e">
        <f t="shared" si="14"/>
        <v>#DIV/0!</v>
      </c>
      <c r="K23" s="300" t="e">
        <f t="shared" si="14"/>
        <v>#DIV/0!</v>
      </c>
      <c r="L23" s="300" t="e">
        <f t="shared" si="14"/>
        <v>#DIV/0!</v>
      </c>
      <c r="M23" s="300" t="e">
        <f t="shared" si="14"/>
        <v>#DIV/0!</v>
      </c>
      <c r="N23" s="300" t="e">
        <f t="shared" si="14"/>
        <v>#DIV/0!</v>
      </c>
      <c r="O23" s="300" t="e">
        <f t="shared" si="14"/>
        <v>#DIV/0!</v>
      </c>
      <c r="P23" s="300" t="e">
        <f t="shared" si="14"/>
        <v>#DIV/0!</v>
      </c>
      <c r="Q23" s="300" t="e">
        <f t="shared" si="14"/>
        <v>#DIV/0!</v>
      </c>
      <c r="R23" s="300" t="e">
        <f t="shared" si="14"/>
        <v>#DIV/0!</v>
      </c>
      <c r="S23" s="300" t="e">
        <f t="shared" si="14"/>
        <v>#DIV/0!</v>
      </c>
      <c r="T23" s="300" t="e">
        <f t="shared" si="14"/>
        <v>#DIV/0!</v>
      </c>
      <c r="U23" s="300" t="e">
        <f t="shared" si="14"/>
        <v>#DIV/0!</v>
      </c>
      <c r="V23" s="300" t="e">
        <f t="shared" si="14"/>
        <v>#DIV/0!</v>
      </c>
    </row>
    <row r="24" spans="1:26">
      <c r="A24" s="299"/>
      <c r="C24" s="281"/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</row>
    <row r="25" spans="1:26">
      <c r="A25" s="136" t="s">
        <v>42</v>
      </c>
      <c r="C25" s="281">
        <f>'3)Operating Budget'!C74</f>
        <v>0</v>
      </c>
      <c r="D25" s="281">
        <f>C25</f>
        <v>0</v>
      </c>
      <c r="E25" s="281">
        <f t="shared" ref="E25:V25" si="15">D25</f>
        <v>0</v>
      </c>
      <c r="F25" s="281">
        <f t="shared" si="15"/>
        <v>0</v>
      </c>
      <c r="G25" s="281">
        <f t="shared" si="15"/>
        <v>0</v>
      </c>
      <c r="H25" s="281">
        <f t="shared" si="15"/>
        <v>0</v>
      </c>
      <c r="I25" s="281">
        <f t="shared" si="15"/>
        <v>0</v>
      </c>
      <c r="J25" s="281">
        <f t="shared" si="15"/>
        <v>0</v>
      </c>
      <c r="K25" s="281">
        <f t="shared" si="15"/>
        <v>0</v>
      </c>
      <c r="L25" s="281">
        <f t="shared" si="15"/>
        <v>0</v>
      </c>
      <c r="M25" s="281">
        <f t="shared" si="15"/>
        <v>0</v>
      </c>
      <c r="N25" s="281">
        <f t="shared" si="15"/>
        <v>0</v>
      </c>
      <c r="O25" s="281">
        <f t="shared" si="15"/>
        <v>0</v>
      </c>
      <c r="P25" s="281">
        <f t="shared" si="15"/>
        <v>0</v>
      </c>
      <c r="Q25" s="281">
        <f t="shared" si="15"/>
        <v>0</v>
      </c>
      <c r="R25" s="281">
        <f t="shared" si="15"/>
        <v>0</v>
      </c>
      <c r="S25" s="281">
        <f t="shared" si="15"/>
        <v>0</v>
      </c>
      <c r="T25" s="281">
        <f t="shared" si="15"/>
        <v>0</v>
      </c>
      <c r="U25" s="281">
        <f t="shared" si="15"/>
        <v>0</v>
      </c>
      <c r="V25" s="281">
        <f t="shared" si="15"/>
        <v>0</v>
      </c>
    </row>
    <row r="26" spans="1:26">
      <c r="A26" s="38" t="s">
        <v>185</v>
      </c>
      <c r="C26" s="301" t="str">
        <f>IF(C25=0,"n/a",C22/C25)</f>
        <v>n/a</v>
      </c>
      <c r="D26" s="301" t="str">
        <f t="shared" ref="D26:V26" si="16">IF(D25=0,"n/a",D22/D25)</f>
        <v>n/a</v>
      </c>
      <c r="E26" s="301" t="str">
        <f t="shared" si="16"/>
        <v>n/a</v>
      </c>
      <c r="F26" s="301" t="str">
        <f t="shared" si="16"/>
        <v>n/a</v>
      </c>
      <c r="G26" s="301" t="str">
        <f t="shared" si="16"/>
        <v>n/a</v>
      </c>
      <c r="H26" s="301" t="str">
        <f t="shared" si="16"/>
        <v>n/a</v>
      </c>
      <c r="I26" s="301" t="str">
        <f t="shared" si="16"/>
        <v>n/a</v>
      </c>
      <c r="J26" s="301" t="str">
        <f t="shared" si="16"/>
        <v>n/a</v>
      </c>
      <c r="K26" s="301" t="str">
        <f t="shared" si="16"/>
        <v>n/a</v>
      </c>
      <c r="L26" s="301" t="str">
        <f t="shared" si="16"/>
        <v>n/a</v>
      </c>
      <c r="M26" s="301" t="str">
        <f t="shared" si="16"/>
        <v>n/a</v>
      </c>
      <c r="N26" s="301" t="str">
        <f t="shared" si="16"/>
        <v>n/a</v>
      </c>
      <c r="O26" s="301" t="str">
        <f t="shared" si="16"/>
        <v>n/a</v>
      </c>
      <c r="P26" s="301" t="str">
        <f t="shared" si="16"/>
        <v>n/a</v>
      </c>
      <c r="Q26" s="301" t="str">
        <f t="shared" si="16"/>
        <v>n/a</v>
      </c>
      <c r="R26" s="301" t="str">
        <f t="shared" si="16"/>
        <v>n/a</v>
      </c>
      <c r="S26" s="301" t="str">
        <f t="shared" si="16"/>
        <v>n/a</v>
      </c>
      <c r="T26" s="301" t="str">
        <f t="shared" si="16"/>
        <v>n/a</v>
      </c>
      <c r="U26" s="301" t="str">
        <f t="shared" si="16"/>
        <v>n/a</v>
      </c>
      <c r="V26" s="301" t="str">
        <f t="shared" si="16"/>
        <v>n/a</v>
      </c>
    </row>
    <row r="27" spans="1:26"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</row>
    <row r="28" spans="1:26" s="136" customFormat="1">
      <c r="A28" s="271" t="s">
        <v>178</v>
      </c>
      <c r="B28" s="271"/>
      <c r="C28" s="274">
        <f>C22-C25</f>
        <v>0</v>
      </c>
      <c r="D28" s="274">
        <f t="shared" ref="D28:V28" si="17">D22-D25</f>
        <v>0</v>
      </c>
      <c r="E28" s="274">
        <f t="shared" si="17"/>
        <v>0</v>
      </c>
      <c r="F28" s="274">
        <f t="shared" si="17"/>
        <v>0</v>
      </c>
      <c r="G28" s="274">
        <f t="shared" si="17"/>
        <v>0</v>
      </c>
      <c r="H28" s="274">
        <f t="shared" si="17"/>
        <v>0</v>
      </c>
      <c r="I28" s="274">
        <f t="shared" si="17"/>
        <v>0</v>
      </c>
      <c r="J28" s="274">
        <f t="shared" si="17"/>
        <v>0</v>
      </c>
      <c r="K28" s="274">
        <f t="shared" si="17"/>
        <v>0</v>
      </c>
      <c r="L28" s="274">
        <f t="shared" si="17"/>
        <v>0</v>
      </c>
      <c r="M28" s="274">
        <f t="shared" si="17"/>
        <v>0</v>
      </c>
      <c r="N28" s="274">
        <f t="shared" si="17"/>
        <v>0</v>
      </c>
      <c r="O28" s="274">
        <f t="shared" si="17"/>
        <v>0</v>
      </c>
      <c r="P28" s="274">
        <f t="shared" si="17"/>
        <v>0</v>
      </c>
      <c r="Q28" s="274">
        <f t="shared" si="17"/>
        <v>0</v>
      </c>
      <c r="R28" s="274">
        <f t="shared" si="17"/>
        <v>0</v>
      </c>
      <c r="S28" s="274">
        <f t="shared" si="17"/>
        <v>0</v>
      </c>
      <c r="T28" s="274">
        <f t="shared" si="17"/>
        <v>0</v>
      </c>
      <c r="U28" s="274">
        <f t="shared" si="17"/>
        <v>0</v>
      </c>
      <c r="V28" s="274">
        <f t="shared" si="17"/>
        <v>0</v>
      </c>
      <c r="W28" s="302"/>
      <c r="X28" s="38"/>
      <c r="Y28" s="38"/>
      <c r="Z28" s="38"/>
    </row>
    <row r="29" spans="1:26">
      <c r="A29" s="299"/>
      <c r="B29" s="299" t="s">
        <v>34</v>
      </c>
      <c r="C29" s="281" t="e">
        <f t="shared" ref="C29:V29" si="18">C28/Units</f>
        <v>#DIV/0!</v>
      </c>
      <c r="D29" s="281" t="e">
        <f t="shared" si="18"/>
        <v>#DIV/0!</v>
      </c>
      <c r="E29" s="281" t="e">
        <f t="shared" si="18"/>
        <v>#DIV/0!</v>
      </c>
      <c r="F29" s="281" t="e">
        <f t="shared" si="18"/>
        <v>#DIV/0!</v>
      </c>
      <c r="G29" s="281" t="e">
        <f t="shared" si="18"/>
        <v>#DIV/0!</v>
      </c>
      <c r="H29" s="281" t="e">
        <f t="shared" si="18"/>
        <v>#DIV/0!</v>
      </c>
      <c r="I29" s="281" t="e">
        <f t="shared" si="18"/>
        <v>#DIV/0!</v>
      </c>
      <c r="J29" s="281" t="e">
        <f t="shared" si="18"/>
        <v>#DIV/0!</v>
      </c>
      <c r="K29" s="281" t="e">
        <f t="shared" si="18"/>
        <v>#DIV/0!</v>
      </c>
      <c r="L29" s="281" t="e">
        <f t="shared" si="18"/>
        <v>#DIV/0!</v>
      </c>
      <c r="M29" s="281" t="e">
        <f t="shared" si="18"/>
        <v>#DIV/0!</v>
      </c>
      <c r="N29" s="281" t="e">
        <f t="shared" si="18"/>
        <v>#DIV/0!</v>
      </c>
      <c r="O29" s="281" t="e">
        <f t="shared" si="18"/>
        <v>#DIV/0!</v>
      </c>
      <c r="P29" s="281" t="e">
        <f t="shared" si="18"/>
        <v>#DIV/0!</v>
      </c>
      <c r="Q29" s="281" t="e">
        <f t="shared" si="18"/>
        <v>#DIV/0!</v>
      </c>
      <c r="R29" s="281" t="e">
        <f t="shared" si="18"/>
        <v>#DIV/0!</v>
      </c>
      <c r="S29" s="281" t="e">
        <f t="shared" si="18"/>
        <v>#DIV/0!</v>
      </c>
      <c r="T29" s="281" t="e">
        <f t="shared" si="18"/>
        <v>#DIV/0!</v>
      </c>
      <c r="U29" s="281" t="e">
        <f t="shared" si="18"/>
        <v>#DIV/0!</v>
      </c>
      <c r="V29" s="281" t="e">
        <f t="shared" si="18"/>
        <v>#DIV/0!</v>
      </c>
    </row>
    <row r="30" spans="1:26">
      <c r="A30" s="38" t="s">
        <v>186</v>
      </c>
      <c r="C30" s="14" t="e">
        <f>C28/(C19+C25)</f>
        <v>#DIV/0!</v>
      </c>
      <c r="D30" s="14" t="e">
        <f t="shared" ref="D30:V30" si="19">D28/(D19+D25)</f>
        <v>#DIV/0!</v>
      </c>
      <c r="E30" s="14" t="e">
        <f t="shared" si="19"/>
        <v>#DIV/0!</v>
      </c>
      <c r="F30" s="14" t="e">
        <f t="shared" si="19"/>
        <v>#DIV/0!</v>
      </c>
      <c r="G30" s="14" t="e">
        <f t="shared" si="19"/>
        <v>#DIV/0!</v>
      </c>
      <c r="H30" s="14" t="e">
        <f t="shared" si="19"/>
        <v>#DIV/0!</v>
      </c>
      <c r="I30" s="14" t="e">
        <f t="shared" si="19"/>
        <v>#DIV/0!</v>
      </c>
      <c r="J30" s="14" t="e">
        <f t="shared" si="19"/>
        <v>#DIV/0!</v>
      </c>
      <c r="K30" s="14" t="e">
        <f t="shared" si="19"/>
        <v>#DIV/0!</v>
      </c>
      <c r="L30" s="14" t="e">
        <f t="shared" si="19"/>
        <v>#DIV/0!</v>
      </c>
      <c r="M30" s="14" t="e">
        <f t="shared" si="19"/>
        <v>#DIV/0!</v>
      </c>
      <c r="N30" s="14" t="e">
        <f t="shared" si="19"/>
        <v>#DIV/0!</v>
      </c>
      <c r="O30" s="14" t="e">
        <f t="shared" si="19"/>
        <v>#DIV/0!</v>
      </c>
      <c r="P30" s="14" t="e">
        <f t="shared" si="19"/>
        <v>#DIV/0!</v>
      </c>
      <c r="Q30" s="14" t="e">
        <f t="shared" si="19"/>
        <v>#DIV/0!</v>
      </c>
      <c r="R30" s="14" t="e">
        <f t="shared" si="19"/>
        <v>#DIV/0!</v>
      </c>
      <c r="S30" s="14" t="e">
        <f t="shared" si="19"/>
        <v>#DIV/0!</v>
      </c>
      <c r="T30" s="14" t="e">
        <f t="shared" si="19"/>
        <v>#DIV/0!</v>
      </c>
      <c r="U30" s="14" t="e">
        <f t="shared" si="19"/>
        <v>#DIV/0!</v>
      </c>
      <c r="V30" s="14" t="e">
        <f t="shared" si="19"/>
        <v>#DIV/0!</v>
      </c>
    </row>
    <row r="31" spans="1:26"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</row>
    <row r="32" spans="1:26">
      <c r="A32" s="136" t="s">
        <v>187</v>
      </c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</row>
    <row r="33" spans="1:22">
      <c r="A33" s="213" t="s">
        <v>188</v>
      </c>
      <c r="B33" s="213"/>
      <c r="C33" s="282">
        <f>DDF</f>
        <v>0</v>
      </c>
      <c r="D33" s="282">
        <f>C35</f>
        <v>0</v>
      </c>
      <c r="E33" s="282">
        <f t="shared" ref="E33:V33" si="20">D35</f>
        <v>0</v>
      </c>
      <c r="F33" s="282">
        <f t="shared" si="20"/>
        <v>0</v>
      </c>
      <c r="G33" s="282">
        <f t="shared" si="20"/>
        <v>0</v>
      </c>
      <c r="H33" s="282">
        <f t="shared" si="20"/>
        <v>0</v>
      </c>
      <c r="I33" s="282">
        <f t="shared" si="20"/>
        <v>0</v>
      </c>
      <c r="J33" s="282">
        <f t="shared" si="20"/>
        <v>0</v>
      </c>
      <c r="K33" s="282">
        <f t="shared" si="20"/>
        <v>0</v>
      </c>
      <c r="L33" s="282">
        <f t="shared" si="20"/>
        <v>0</v>
      </c>
      <c r="M33" s="282">
        <f t="shared" si="20"/>
        <v>0</v>
      </c>
      <c r="N33" s="282">
        <f t="shared" si="20"/>
        <v>0</v>
      </c>
      <c r="O33" s="282">
        <f t="shared" si="20"/>
        <v>0</v>
      </c>
      <c r="P33" s="282">
        <f t="shared" si="20"/>
        <v>0</v>
      </c>
      <c r="Q33" s="282">
        <f t="shared" si="20"/>
        <v>0</v>
      </c>
      <c r="R33" s="282">
        <f t="shared" si="20"/>
        <v>0</v>
      </c>
      <c r="S33" s="282">
        <f t="shared" si="20"/>
        <v>0</v>
      </c>
      <c r="T33" s="282">
        <f t="shared" si="20"/>
        <v>0</v>
      </c>
      <c r="U33" s="282">
        <f t="shared" si="20"/>
        <v>0</v>
      </c>
      <c r="V33" s="282">
        <f t="shared" si="20"/>
        <v>0</v>
      </c>
    </row>
    <row r="34" spans="1:22">
      <c r="A34" s="207" t="s">
        <v>189</v>
      </c>
      <c r="C34" s="281">
        <f t="shared" ref="C34:V34" si="21">MIN(MAX(C28,0),C33)</f>
        <v>0</v>
      </c>
      <c r="D34" s="281">
        <f t="shared" si="21"/>
        <v>0</v>
      </c>
      <c r="E34" s="281">
        <f t="shared" si="21"/>
        <v>0</v>
      </c>
      <c r="F34" s="281">
        <f t="shared" si="21"/>
        <v>0</v>
      </c>
      <c r="G34" s="281">
        <f t="shared" si="21"/>
        <v>0</v>
      </c>
      <c r="H34" s="281">
        <f t="shared" si="21"/>
        <v>0</v>
      </c>
      <c r="I34" s="281">
        <f t="shared" si="21"/>
        <v>0</v>
      </c>
      <c r="J34" s="281">
        <f t="shared" si="21"/>
        <v>0</v>
      </c>
      <c r="K34" s="281">
        <f t="shared" si="21"/>
        <v>0</v>
      </c>
      <c r="L34" s="281">
        <f t="shared" si="21"/>
        <v>0</v>
      </c>
      <c r="M34" s="281">
        <f t="shared" si="21"/>
        <v>0</v>
      </c>
      <c r="N34" s="281">
        <f t="shared" si="21"/>
        <v>0</v>
      </c>
      <c r="O34" s="281">
        <f t="shared" si="21"/>
        <v>0</v>
      </c>
      <c r="P34" s="281">
        <f t="shared" si="21"/>
        <v>0</v>
      </c>
      <c r="Q34" s="281">
        <f t="shared" si="21"/>
        <v>0</v>
      </c>
      <c r="R34" s="281">
        <f t="shared" si="21"/>
        <v>0</v>
      </c>
      <c r="S34" s="281">
        <f t="shared" si="21"/>
        <v>0</v>
      </c>
      <c r="T34" s="281">
        <f t="shared" si="21"/>
        <v>0</v>
      </c>
      <c r="U34" s="281">
        <f t="shared" si="21"/>
        <v>0</v>
      </c>
      <c r="V34" s="281">
        <f t="shared" si="21"/>
        <v>0</v>
      </c>
    </row>
    <row r="35" spans="1:22">
      <c r="A35" s="208" t="s">
        <v>190</v>
      </c>
      <c r="B35" s="276"/>
      <c r="C35" s="291">
        <f>C33-C34</f>
        <v>0</v>
      </c>
      <c r="D35" s="291">
        <f>D33-D34</f>
        <v>0</v>
      </c>
      <c r="E35" s="291">
        <f t="shared" ref="E35:V35" si="22">E33-E34</f>
        <v>0</v>
      </c>
      <c r="F35" s="291">
        <f t="shared" si="22"/>
        <v>0</v>
      </c>
      <c r="G35" s="291">
        <f t="shared" si="22"/>
        <v>0</v>
      </c>
      <c r="H35" s="291">
        <f t="shared" si="22"/>
        <v>0</v>
      </c>
      <c r="I35" s="291">
        <f t="shared" si="22"/>
        <v>0</v>
      </c>
      <c r="J35" s="291">
        <f t="shared" si="22"/>
        <v>0</v>
      </c>
      <c r="K35" s="291">
        <f t="shared" si="22"/>
        <v>0</v>
      </c>
      <c r="L35" s="291">
        <f t="shared" si="22"/>
        <v>0</v>
      </c>
      <c r="M35" s="291">
        <f t="shared" si="22"/>
        <v>0</v>
      </c>
      <c r="N35" s="291">
        <f t="shared" si="22"/>
        <v>0</v>
      </c>
      <c r="O35" s="291">
        <f t="shared" si="22"/>
        <v>0</v>
      </c>
      <c r="P35" s="291">
        <f t="shared" si="22"/>
        <v>0</v>
      </c>
      <c r="Q35" s="291">
        <f t="shared" si="22"/>
        <v>0</v>
      </c>
      <c r="R35" s="291">
        <f t="shared" si="22"/>
        <v>0</v>
      </c>
      <c r="S35" s="291">
        <f t="shared" si="22"/>
        <v>0</v>
      </c>
      <c r="T35" s="291">
        <f t="shared" si="22"/>
        <v>0</v>
      </c>
      <c r="U35" s="291">
        <f t="shared" si="22"/>
        <v>0</v>
      </c>
      <c r="V35" s="291">
        <f t="shared" si="22"/>
        <v>0</v>
      </c>
    </row>
    <row r="36" spans="1:22"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  <c r="O36" s="281"/>
      <c r="P36" s="281"/>
      <c r="Q36" s="281"/>
      <c r="R36" s="281"/>
      <c r="S36" s="281"/>
      <c r="T36" s="281"/>
      <c r="U36" s="281"/>
      <c r="V36" s="281"/>
    </row>
    <row r="37" spans="1:22">
      <c r="A37" s="272" t="s">
        <v>191</v>
      </c>
      <c r="B37" s="272"/>
      <c r="C37" s="296">
        <f t="shared" ref="C37:V37" si="23">C28-C34</f>
        <v>0</v>
      </c>
      <c r="D37" s="296">
        <f t="shared" si="23"/>
        <v>0</v>
      </c>
      <c r="E37" s="296">
        <f t="shared" si="23"/>
        <v>0</v>
      </c>
      <c r="F37" s="296">
        <f t="shared" si="23"/>
        <v>0</v>
      </c>
      <c r="G37" s="296">
        <f t="shared" si="23"/>
        <v>0</v>
      </c>
      <c r="H37" s="296">
        <f t="shared" si="23"/>
        <v>0</v>
      </c>
      <c r="I37" s="296">
        <f t="shared" si="23"/>
        <v>0</v>
      </c>
      <c r="J37" s="296">
        <f t="shared" si="23"/>
        <v>0</v>
      </c>
      <c r="K37" s="296">
        <f t="shared" si="23"/>
        <v>0</v>
      </c>
      <c r="L37" s="296">
        <f t="shared" si="23"/>
        <v>0</v>
      </c>
      <c r="M37" s="296">
        <f t="shared" si="23"/>
        <v>0</v>
      </c>
      <c r="N37" s="296">
        <f t="shared" si="23"/>
        <v>0</v>
      </c>
      <c r="O37" s="296">
        <f t="shared" si="23"/>
        <v>0</v>
      </c>
      <c r="P37" s="296">
        <f t="shared" si="23"/>
        <v>0</v>
      </c>
      <c r="Q37" s="296">
        <f t="shared" si="23"/>
        <v>0</v>
      </c>
      <c r="R37" s="296">
        <f t="shared" si="23"/>
        <v>0</v>
      </c>
      <c r="S37" s="296">
        <f t="shared" si="23"/>
        <v>0</v>
      </c>
      <c r="T37" s="296">
        <f t="shared" si="23"/>
        <v>0</v>
      </c>
      <c r="U37" s="296">
        <f t="shared" si="23"/>
        <v>0</v>
      </c>
      <c r="V37" s="296">
        <f t="shared" si="23"/>
        <v>0</v>
      </c>
    </row>
    <row r="38" spans="1:22">
      <c r="C38" s="281"/>
      <c r="D38" s="281"/>
      <c r="E38" s="281"/>
      <c r="F38" s="281"/>
      <c r="G38" s="281"/>
      <c r="H38" s="281"/>
      <c r="I38" s="281"/>
      <c r="J38" s="281"/>
      <c r="K38" s="281"/>
      <c r="L38" s="281"/>
      <c r="M38" s="281"/>
      <c r="N38" s="281"/>
      <c r="O38" s="281"/>
      <c r="P38" s="281"/>
      <c r="Q38" s="281"/>
      <c r="R38" s="281"/>
      <c r="S38" s="281"/>
      <c r="T38" s="281"/>
      <c r="U38" s="281"/>
      <c r="V38" s="281"/>
    </row>
    <row r="39" spans="1:22">
      <c r="A39" s="136" t="s">
        <v>192</v>
      </c>
      <c r="B39" s="294">
        <v>0.5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81"/>
      <c r="Q39" s="281"/>
      <c r="R39" s="281"/>
      <c r="S39" s="281"/>
      <c r="T39" s="281"/>
      <c r="U39" s="281"/>
      <c r="V39" s="281"/>
    </row>
    <row r="40" spans="1:22">
      <c r="A40" s="213" t="s">
        <v>193</v>
      </c>
      <c r="B40" s="213"/>
      <c r="C40" s="298">
        <f>HOME</f>
        <v>0</v>
      </c>
      <c r="D40" s="282">
        <f>C47</f>
        <v>0</v>
      </c>
      <c r="E40" s="282">
        <f t="shared" ref="E40:V40" si="24">D47</f>
        <v>0</v>
      </c>
      <c r="F40" s="282">
        <f t="shared" si="24"/>
        <v>0</v>
      </c>
      <c r="G40" s="282">
        <f t="shared" si="24"/>
        <v>0</v>
      </c>
      <c r="H40" s="282">
        <f t="shared" si="24"/>
        <v>0</v>
      </c>
      <c r="I40" s="282">
        <f t="shared" si="24"/>
        <v>0</v>
      </c>
      <c r="J40" s="282">
        <f t="shared" si="24"/>
        <v>0</v>
      </c>
      <c r="K40" s="282">
        <f t="shared" si="24"/>
        <v>0</v>
      </c>
      <c r="L40" s="282">
        <f t="shared" si="24"/>
        <v>0</v>
      </c>
      <c r="M40" s="282">
        <f t="shared" si="24"/>
        <v>0</v>
      </c>
      <c r="N40" s="282">
        <f t="shared" si="24"/>
        <v>0</v>
      </c>
      <c r="O40" s="282">
        <f t="shared" si="24"/>
        <v>0</v>
      </c>
      <c r="P40" s="282">
        <f t="shared" si="24"/>
        <v>0</v>
      </c>
      <c r="Q40" s="282">
        <f t="shared" si="24"/>
        <v>0</v>
      </c>
      <c r="R40" s="282">
        <f t="shared" si="24"/>
        <v>0</v>
      </c>
      <c r="S40" s="282">
        <f t="shared" si="24"/>
        <v>0</v>
      </c>
      <c r="T40" s="282">
        <f t="shared" si="24"/>
        <v>0</v>
      </c>
      <c r="U40" s="282">
        <f t="shared" si="24"/>
        <v>0</v>
      </c>
      <c r="V40" s="282">
        <f t="shared" si="24"/>
        <v>0</v>
      </c>
    </row>
    <row r="41" spans="1:22">
      <c r="A41" s="38" t="s">
        <v>194</v>
      </c>
      <c r="B41" s="172" t="s">
        <v>195</v>
      </c>
      <c r="C41" s="281"/>
      <c r="D41" s="281">
        <f>C45</f>
        <v>0</v>
      </c>
      <c r="E41" s="281">
        <f t="shared" ref="E41:V41" si="25">D45</f>
        <v>0</v>
      </c>
      <c r="F41" s="281">
        <f t="shared" si="25"/>
        <v>0</v>
      </c>
      <c r="G41" s="281">
        <f t="shared" si="25"/>
        <v>0</v>
      </c>
      <c r="H41" s="281">
        <f t="shared" si="25"/>
        <v>0</v>
      </c>
      <c r="I41" s="281">
        <f t="shared" si="25"/>
        <v>0</v>
      </c>
      <c r="J41" s="281">
        <f t="shared" si="25"/>
        <v>0</v>
      </c>
      <c r="K41" s="281">
        <f t="shared" si="25"/>
        <v>0</v>
      </c>
      <c r="L41" s="281">
        <f t="shared" si="25"/>
        <v>0</v>
      </c>
      <c r="M41" s="281">
        <f t="shared" si="25"/>
        <v>0</v>
      </c>
      <c r="N41" s="281">
        <f t="shared" si="25"/>
        <v>0</v>
      </c>
      <c r="O41" s="281">
        <f t="shared" si="25"/>
        <v>0</v>
      </c>
      <c r="P41" s="281">
        <f t="shared" si="25"/>
        <v>0</v>
      </c>
      <c r="Q41" s="281">
        <f t="shared" si="25"/>
        <v>0</v>
      </c>
      <c r="R41" s="281">
        <f t="shared" si="25"/>
        <v>0</v>
      </c>
      <c r="S41" s="281">
        <f t="shared" si="25"/>
        <v>0</v>
      </c>
      <c r="T41" s="281">
        <f t="shared" si="25"/>
        <v>0</v>
      </c>
      <c r="U41" s="281">
        <f t="shared" si="25"/>
        <v>0</v>
      </c>
      <c r="V41" s="281">
        <f t="shared" si="25"/>
        <v>0</v>
      </c>
    </row>
    <row r="42" spans="1:22">
      <c r="A42" s="38" t="s">
        <v>196</v>
      </c>
      <c r="B42" s="20">
        <v>0.02</v>
      </c>
      <c r="C42" s="281">
        <f>C40*$B$42</f>
        <v>0</v>
      </c>
      <c r="D42" s="281">
        <f>D40*$B$42</f>
        <v>0</v>
      </c>
      <c r="E42" s="281">
        <f t="shared" ref="E42:V42" si="26">E40*$B$42</f>
        <v>0</v>
      </c>
      <c r="F42" s="281">
        <f t="shared" si="26"/>
        <v>0</v>
      </c>
      <c r="G42" s="281">
        <f t="shared" si="26"/>
        <v>0</v>
      </c>
      <c r="H42" s="281">
        <f t="shared" si="26"/>
        <v>0</v>
      </c>
      <c r="I42" s="281">
        <f t="shared" si="26"/>
        <v>0</v>
      </c>
      <c r="J42" s="281">
        <f t="shared" si="26"/>
        <v>0</v>
      </c>
      <c r="K42" s="281">
        <f t="shared" si="26"/>
        <v>0</v>
      </c>
      <c r="L42" s="281">
        <f t="shared" si="26"/>
        <v>0</v>
      </c>
      <c r="M42" s="281">
        <f t="shared" si="26"/>
        <v>0</v>
      </c>
      <c r="N42" s="281">
        <f t="shared" si="26"/>
        <v>0</v>
      </c>
      <c r="O42" s="281">
        <f t="shared" si="26"/>
        <v>0</v>
      </c>
      <c r="P42" s="281">
        <f t="shared" si="26"/>
        <v>0</v>
      </c>
      <c r="Q42" s="281">
        <f t="shared" si="26"/>
        <v>0</v>
      </c>
      <c r="R42" s="281">
        <f t="shared" si="26"/>
        <v>0</v>
      </c>
      <c r="S42" s="281">
        <f t="shared" si="26"/>
        <v>0</v>
      </c>
      <c r="T42" s="281">
        <f t="shared" si="26"/>
        <v>0</v>
      </c>
      <c r="U42" s="281">
        <f t="shared" si="26"/>
        <v>0</v>
      </c>
      <c r="V42" s="281">
        <f t="shared" si="26"/>
        <v>0</v>
      </c>
    </row>
    <row r="43" spans="1:22">
      <c r="A43" s="38" t="s">
        <v>197</v>
      </c>
      <c r="C43" s="281">
        <f>-MIN(MAX(0,C37)*$B$39,C40+C41+C42)</f>
        <v>0</v>
      </c>
      <c r="D43" s="281">
        <f t="shared" ref="D43:V43" si="27">-MIN(MAX(0,D37)*$B$39,D40+D41+D42)</f>
        <v>0</v>
      </c>
      <c r="E43" s="281">
        <f t="shared" si="27"/>
        <v>0</v>
      </c>
      <c r="F43" s="281">
        <f t="shared" si="27"/>
        <v>0</v>
      </c>
      <c r="G43" s="281">
        <f t="shared" si="27"/>
        <v>0</v>
      </c>
      <c r="H43" s="281">
        <f t="shared" si="27"/>
        <v>0</v>
      </c>
      <c r="I43" s="281">
        <f t="shared" si="27"/>
        <v>0</v>
      </c>
      <c r="J43" s="281">
        <f t="shared" si="27"/>
        <v>0</v>
      </c>
      <c r="K43" s="281">
        <f t="shared" si="27"/>
        <v>0</v>
      </c>
      <c r="L43" s="281">
        <f t="shared" si="27"/>
        <v>0</v>
      </c>
      <c r="M43" s="281">
        <f t="shared" si="27"/>
        <v>0</v>
      </c>
      <c r="N43" s="281">
        <f t="shared" si="27"/>
        <v>0</v>
      </c>
      <c r="O43" s="281">
        <f t="shared" si="27"/>
        <v>0</v>
      </c>
      <c r="P43" s="281">
        <f t="shared" si="27"/>
        <v>0</v>
      </c>
      <c r="Q43" s="281">
        <f t="shared" si="27"/>
        <v>0</v>
      </c>
      <c r="R43" s="281">
        <f t="shared" si="27"/>
        <v>0</v>
      </c>
      <c r="S43" s="281">
        <f t="shared" si="27"/>
        <v>0</v>
      </c>
      <c r="T43" s="281">
        <f t="shared" si="27"/>
        <v>0</v>
      </c>
      <c r="U43" s="281">
        <f t="shared" si="27"/>
        <v>0</v>
      </c>
      <c r="V43" s="281">
        <f t="shared" si="27"/>
        <v>0</v>
      </c>
    </row>
    <row r="44" spans="1:22">
      <c r="A44" s="38" t="s">
        <v>198</v>
      </c>
      <c r="C44" s="281">
        <f>MAX(C43,-(C42+C41))</f>
        <v>0</v>
      </c>
      <c r="D44" s="281">
        <f>MAX(D43,-(D42+D41))</f>
        <v>0</v>
      </c>
      <c r="E44" s="281">
        <f t="shared" ref="E44:V44" si="28">MAX(E43,-(E42+E41))</f>
        <v>0</v>
      </c>
      <c r="F44" s="281">
        <f t="shared" si="28"/>
        <v>0</v>
      </c>
      <c r="G44" s="281">
        <f t="shared" si="28"/>
        <v>0</v>
      </c>
      <c r="H44" s="281">
        <f t="shared" si="28"/>
        <v>0</v>
      </c>
      <c r="I44" s="281">
        <f t="shared" si="28"/>
        <v>0</v>
      </c>
      <c r="J44" s="281">
        <f t="shared" si="28"/>
        <v>0</v>
      </c>
      <c r="K44" s="281">
        <f t="shared" si="28"/>
        <v>0</v>
      </c>
      <c r="L44" s="281">
        <f t="shared" si="28"/>
        <v>0</v>
      </c>
      <c r="M44" s="281">
        <f t="shared" si="28"/>
        <v>0</v>
      </c>
      <c r="N44" s="281">
        <f t="shared" si="28"/>
        <v>0</v>
      </c>
      <c r="O44" s="281">
        <f t="shared" si="28"/>
        <v>0</v>
      </c>
      <c r="P44" s="281">
        <f t="shared" si="28"/>
        <v>0</v>
      </c>
      <c r="Q44" s="281">
        <f t="shared" si="28"/>
        <v>0</v>
      </c>
      <c r="R44" s="281">
        <f t="shared" si="28"/>
        <v>0</v>
      </c>
      <c r="S44" s="281">
        <f t="shared" si="28"/>
        <v>0</v>
      </c>
      <c r="T44" s="281">
        <f t="shared" si="28"/>
        <v>0</v>
      </c>
      <c r="U44" s="281">
        <f t="shared" si="28"/>
        <v>0</v>
      </c>
      <c r="V44" s="281">
        <f t="shared" si="28"/>
        <v>0</v>
      </c>
    </row>
    <row r="45" spans="1:22">
      <c r="A45" s="38" t="s">
        <v>199</v>
      </c>
      <c r="C45" s="281">
        <f>MAX(0,C42+C44)</f>
        <v>0</v>
      </c>
      <c r="D45" s="281">
        <f>MAX(0,D41+D42+D44)</f>
        <v>0</v>
      </c>
      <c r="E45" s="281">
        <f t="shared" ref="E45:V45" si="29">MAX(0,E41+E42+E44)</f>
        <v>0</v>
      </c>
      <c r="F45" s="281">
        <f t="shared" si="29"/>
        <v>0</v>
      </c>
      <c r="G45" s="281">
        <f t="shared" si="29"/>
        <v>0</v>
      </c>
      <c r="H45" s="281">
        <f t="shared" si="29"/>
        <v>0</v>
      </c>
      <c r="I45" s="281">
        <f t="shared" si="29"/>
        <v>0</v>
      </c>
      <c r="J45" s="281">
        <f t="shared" si="29"/>
        <v>0</v>
      </c>
      <c r="K45" s="281">
        <f t="shared" si="29"/>
        <v>0</v>
      </c>
      <c r="L45" s="281">
        <f t="shared" si="29"/>
        <v>0</v>
      </c>
      <c r="M45" s="281">
        <f t="shared" si="29"/>
        <v>0</v>
      </c>
      <c r="N45" s="281">
        <f t="shared" si="29"/>
        <v>0</v>
      </c>
      <c r="O45" s="281">
        <f t="shared" si="29"/>
        <v>0</v>
      </c>
      <c r="P45" s="281">
        <f t="shared" si="29"/>
        <v>0</v>
      </c>
      <c r="Q45" s="281">
        <f t="shared" si="29"/>
        <v>0</v>
      </c>
      <c r="R45" s="281">
        <f t="shared" si="29"/>
        <v>0</v>
      </c>
      <c r="S45" s="281">
        <f t="shared" si="29"/>
        <v>0</v>
      </c>
      <c r="T45" s="281">
        <f t="shared" si="29"/>
        <v>0</v>
      </c>
      <c r="U45" s="281">
        <f t="shared" si="29"/>
        <v>0</v>
      </c>
      <c r="V45" s="281">
        <f t="shared" si="29"/>
        <v>0</v>
      </c>
    </row>
    <row r="46" spans="1:22">
      <c r="A46" s="38" t="s">
        <v>200</v>
      </c>
      <c r="C46" s="281">
        <f>C43-C44</f>
        <v>0</v>
      </c>
      <c r="D46" s="281">
        <f>D43-D44</f>
        <v>0</v>
      </c>
      <c r="E46" s="281">
        <f t="shared" ref="E46:V46" si="30">E43-E44</f>
        <v>0</v>
      </c>
      <c r="F46" s="281">
        <f t="shared" si="30"/>
        <v>0</v>
      </c>
      <c r="G46" s="281">
        <f t="shared" si="30"/>
        <v>0</v>
      </c>
      <c r="H46" s="281">
        <f t="shared" si="30"/>
        <v>0</v>
      </c>
      <c r="I46" s="281">
        <f t="shared" si="30"/>
        <v>0</v>
      </c>
      <c r="J46" s="281">
        <f t="shared" si="30"/>
        <v>0</v>
      </c>
      <c r="K46" s="281">
        <f t="shared" si="30"/>
        <v>0</v>
      </c>
      <c r="L46" s="281">
        <f t="shared" si="30"/>
        <v>0</v>
      </c>
      <c r="M46" s="281">
        <f t="shared" si="30"/>
        <v>0</v>
      </c>
      <c r="N46" s="281">
        <f t="shared" si="30"/>
        <v>0</v>
      </c>
      <c r="O46" s="281">
        <f t="shared" si="30"/>
        <v>0</v>
      </c>
      <c r="P46" s="281">
        <f t="shared" si="30"/>
        <v>0</v>
      </c>
      <c r="Q46" s="281">
        <f t="shared" si="30"/>
        <v>0</v>
      </c>
      <c r="R46" s="281">
        <f t="shared" si="30"/>
        <v>0</v>
      </c>
      <c r="S46" s="281">
        <f t="shared" si="30"/>
        <v>0</v>
      </c>
      <c r="T46" s="281">
        <f t="shared" si="30"/>
        <v>0</v>
      </c>
      <c r="U46" s="281">
        <f t="shared" si="30"/>
        <v>0</v>
      </c>
      <c r="V46" s="281">
        <f t="shared" si="30"/>
        <v>0</v>
      </c>
    </row>
    <row r="47" spans="1:22">
      <c r="A47" s="295" t="s">
        <v>201</v>
      </c>
      <c r="B47" s="276"/>
      <c r="C47" s="291">
        <f>C40+C46</f>
        <v>0</v>
      </c>
      <c r="D47" s="291">
        <f>D40+D46</f>
        <v>0</v>
      </c>
      <c r="E47" s="291">
        <f t="shared" ref="E47:V47" si="31">E40+E46</f>
        <v>0</v>
      </c>
      <c r="F47" s="291">
        <f t="shared" si="31"/>
        <v>0</v>
      </c>
      <c r="G47" s="291">
        <f t="shared" si="31"/>
        <v>0</v>
      </c>
      <c r="H47" s="291">
        <f t="shared" si="31"/>
        <v>0</v>
      </c>
      <c r="I47" s="291">
        <f t="shared" si="31"/>
        <v>0</v>
      </c>
      <c r="J47" s="291">
        <f t="shared" si="31"/>
        <v>0</v>
      </c>
      <c r="K47" s="291">
        <f t="shared" si="31"/>
        <v>0</v>
      </c>
      <c r="L47" s="291">
        <f t="shared" si="31"/>
        <v>0</v>
      </c>
      <c r="M47" s="291">
        <f t="shared" si="31"/>
        <v>0</v>
      </c>
      <c r="N47" s="291">
        <f t="shared" si="31"/>
        <v>0</v>
      </c>
      <c r="O47" s="291">
        <f t="shared" si="31"/>
        <v>0</v>
      </c>
      <c r="P47" s="291">
        <f t="shared" si="31"/>
        <v>0</v>
      </c>
      <c r="Q47" s="291">
        <f t="shared" si="31"/>
        <v>0</v>
      </c>
      <c r="R47" s="291">
        <f t="shared" si="31"/>
        <v>0</v>
      </c>
      <c r="S47" s="291">
        <f t="shared" si="31"/>
        <v>0</v>
      </c>
      <c r="T47" s="291">
        <f t="shared" si="31"/>
        <v>0</v>
      </c>
      <c r="U47" s="291">
        <f t="shared" si="31"/>
        <v>0</v>
      </c>
      <c r="V47" s="291">
        <f t="shared" si="31"/>
        <v>0</v>
      </c>
    </row>
    <row r="48" spans="1:22">
      <c r="C48" s="281"/>
      <c r="D48" s="281"/>
      <c r="E48" s="281"/>
      <c r="F48" s="281"/>
      <c r="G48" s="281"/>
      <c r="H48" s="281"/>
      <c r="I48" s="281"/>
      <c r="J48" s="281"/>
      <c r="K48" s="281"/>
      <c r="L48" s="281"/>
      <c r="M48" s="281"/>
      <c r="N48" s="281"/>
      <c r="O48" s="281"/>
      <c r="P48" s="281"/>
      <c r="Q48" s="281"/>
      <c r="R48" s="281"/>
      <c r="S48" s="281"/>
      <c r="T48" s="281"/>
      <c r="U48" s="281"/>
      <c r="V48" s="281"/>
    </row>
    <row r="49" spans="1:22">
      <c r="A49" s="271" t="s">
        <v>202</v>
      </c>
      <c r="B49" s="272"/>
      <c r="C49" s="296">
        <f>C37+C43</f>
        <v>0</v>
      </c>
      <c r="D49" s="296">
        <f t="shared" ref="D49:V49" si="32">D37+D43</f>
        <v>0</v>
      </c>
      <c r="E49" s="296">
        <f t="shared" si="32"/>
        <v>0</v>
      </c>
      <c r="F49" s="296">
        <f t="shared" si="32"/>
        <v>0</v>
      </c>
      <c r="G49" s="296">
        <f t="shared" si="32"/>
        <v>0</v>
      </c>
      <c r="H49" s="296">
        <f t="shared" si="32"/>
        <v>0</v>
      </c>
      <c r="I49" s="296">
        <f t="shared" si="32"/>
        <v>0</v>
      </c>
      <c r="J49" s="296">
        <f t="shared" si="32"/>
        <v>0</v>
      </c>
      <c r="K49" s="296">
        <f t="shared" si="32"/>
        <v>0</v>
      </c>
      <c r="L49" s="296">
        <f t="shared" si="32"/>
        <v>0</v>
      </c>
      <c r="M49" s="296">
        <f t="shared" si="32"/>
        <v>0</v>
      </c>
      <c r="N49" s="296">
        <f t="shared" si="32"/>
        <v>0</v>
      </c>
      <c r="O49" s="296">
        <f t="shared" si="32"/>
        <v>0</v>
      </c>
      <c r="P49" s="296">
        <f t="shared" si="32"/>
        <v>0</v>
      </c>
      <c r="Q49" s="296">
        <f t="shared" si="32"/>
        <v>0</v>
      </c>
      <c r="R49" s="296">
        <f t="shared" si="32"/>
        <v>0</v>
      </c>
      <c r="S49" s="296">
        <f t="shared" si="32"/>
        <v>0</v>
      </c>
      <c r="T49" s="296">
        <f t="shared" si="32"/>
        <v>0</v>
      </c>
      <c r="U49" s="296">
        <f t="shared" si="32"/>
        <v>0</v>
      </c>
      <c r="V49" s="296">
        <f t="shared" si="32"/>
        <v>0</v>
      </c>
    </row>
    <row r="50" spans="1:22">
      <c r="C50" s="281"/>
      <c r="D50" s="281"/>
      <c r="E50" s="281"/>
      <c r="F50" s="281"/>
      <c r="G50" s="281"/>
      <c r="H50" s="281"/>
      <c r="I50" s="281"/>
      <c r="J50" s="281"/>
      <c r="K50" s="281"/>
      <c r="L50" s="281"/>
      <c r="M50" s="281"/>
      <c r="N50" s="281"/>
      <c r="O50" s="281"/>
      <c r="P50" s="281"/>
      <c r="Q50" s="281"/>
      <c r="R50" s="281"/>
      <c r="S50" s="281"/>
      <c r="T50" s="281"/>
      <c r="U50" s="281"/>
      <c r="V50" s="281"/>
    </row>
    <row r="51" spans="1:22" outlineLevel="1">
      <c r="A51" s="136" t="s">
        <v>203</v>
      </c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281"/>
      <c r="R51" s="281"/>
      <c r="S51" s="281"/>
      <c r="T51" s="281"/>
      <c r="U51" s="281"/>
      <c r="V51" s="281"/>
    </row>
    <row r="52" spans="1:22" outlineLevel="1">
      <c r="A52" s="213" t="s">
        <v>204</v>
      </c>
      <c r="B52" s="213"/>
      <c r="C52" s="282">
        <f>-NPV(B54,C53:V53)</f>
        <v>0</v>
      </c>
      <c r="D52" s="282">
        <f>C55</f>
        <v>0</v>
      </c>
      <c r="E52" s="282">
        <f t="shared" ref="E52:V52" si="33">D55</f>
        <v>0</v>
      </c>
      <c r="F52" s="282">
        <f t="shared" si="33"/>
        <v>0</v>
      </c>
      <c r="G52" s="282">
        <f t="shared" si="33"/>
        <v>0</v>
      </c>
      <c r="H52" s="282">
        <f t="shared" si="33"/>
        <v>0</v>
      </c>
      <c r="I52" s="282">
        <f t="shared" si="33"/>
        <v>0</v>
      </c>
      <c r="J52" s="282">
        <f t="shared" si="33"/>
        <v>0</v>
      </c>
      <c r="K52" s="282">
        <f t="shared" si="33"/>
        <v>0</v>
      </c>
      <c r="L52" s="282">
        <f t="shared" si="33"/>
        <v>0</v>
      </c>
      <c r="M52" s="282">
        <f t="shared" si="33"/>
        <v>0</v>
      </c>
      <c r="N52" s="282">
        <f t="shared" si="33"/>
        <v>0</v>
      </c>
      <c r="O52" s="282">
        <f t="shared" si="33"/>
        <v>0</v>
      </c>
      <c r="P52" s="282">
        <f t="shared" si="33"/>
        <v>0</v>
      </c>
      <c r="Q52" s="282">
        <f t="shared" si="33"/>
        <v>0</v>
      </c>
      <c r="R52" s="282">
        <f t="shared" si="33"/>
        <v>0</v>
      </c>
      <c r="S52" s="282">
        <f t="shared" si="33"/>
        <v>0</v>
      </c>
      <c r="T52" s="282">
        <f t="shared" si="33"/>
        <v>0</v>
      </c>
      <c r="U52" s="282">
        <f t="shared" si="33"/>
        <v>0</v>
      </c>
      <c r="V52" s="282">
        <f t="shared" si="33"/>
        <v>0</v>
      </c>
    </row>
    <row r="53" spans="1:22" outlineLevel="1">
      <c r="A53" s="38" t="s">
        <v>205</v>
      </c>
      <c r="B53" s="297" t="s">
        <v>195</v>
      </c>
      <c r="C53" s="281">
        <f t="shared" ref="C53:V53" si="34">MIN(C28,0)</f>
        <v>0</v>
      </c>
      <c r="D53" s="281">
        <f>MIN(D28,0)</f>
        <v>0</v>
      </c>
      <c r="E53" s="281">
        <f t="shared" si="34"/>
        <v>0</v>
      </c>
      <c r="F53" s="281">
        <f t="shared" si="34"/>
        <v>0</v>
      </c>
      <c r="G53" s="281">
        <f t="shared" si="34"/>
        <v>0</v>
      </c>
      <c r="H53" s="281">
        <f t="shared" si="34"/>
        <v>0</v>
      </c>
      <c r="I53" s="281">
        <f t="shared" si="34"/>
        <v>0</v>
      </c>
      <c r="J53" s="281">
        <f t="shared" si="34"/>
        <v>0</v>
      </c>
      <c r="K53" s="281">
        <f t="shared" si="34"/>
        <v>0</v>
      </c>
      <c r="L53" s="281">
        <f t="shared" si="34"/>
        <v>0</v>
      </c>
      <c r="M53" s="281">
        <f t="shared" si="34"/>
        <v>0</v>
      </c>
      <c r="N53" s="281">
        <f t="shared" si="34"/>
        <v>0</v>
      </c>
      <c r="O53" s="281">
        <f t="shared" si="34"/>
        <v>0</v>
      </c>
      <c r="P53" s="281">
        <f t="shared" si="34"/>
        <v>0</v>
      </c>
      <c r="Q53" s="281">
        <f t="shared" si="34"/>
        <v>0</v>
      </c>
      <c r="R53" s="281">
        <f t="shared" si="34"/>
        <v>0</v>
      </c>
      <c r="S53" s="281">
        <f t="shared" si="34"/>
        <v>0</v>
      </c>
      <c r="T53" s="281">
        <f t="shared" si="34"/>
        <v>0</v>
      </c>
      <c r="U53" s="281">
        <f t="shared" si="34"/>
        <v>0</v>
      </c>
      <c r="V53" s="281">
        <f t="shared" si="34"/>
        <v>0</v>
      </c>
    </row>
    <row r="54" spans="1:22" outlineLevel="1">
      <c r="A54" s="38" t="s">
        <v>206</v>
      </c>
      <c r="B54" s="20">
        <v>0</v>
      </c>
      <c r="C54" s="281">
        <f t="shared" ref="C54:V54" si="35">C52*$B$58</f>
        <v>0</v>
      </c>
      <c r="D54" s="281">
        <f t="shared" si="35"/>
        <v>0</v>
      </c>
      <c r="E54" s="281">
        <f t="shared" si="35"/>
        <v>0</v>
      </c>
      <c r="F54" s="281">
        <f t="shared" si="35"/>
        <v>0</v>
      </c>
      <c r="G54" s="281">
        <f t="shared" si="35"/>
        <v>0</v>
      </c>
      <c r="H54" s="281">
        <f t="shared" si="35"/>
        <v>0</v>
      </c>
      <c r="I54" s="281">
        <f t="shared" si="35"/>
        <v>0</v>
      </c>
      <c r="J54" s="281">
        <f t="shared" si="35"/>
        <v>0</v>
      </c>
      <c r="K54" s="281">
        <f t="shared" si="35"/>
        <v>0</v>
      </c>
      <c r="L54" s="281">
        <f t="shared" si="35"/>
        <v>0</v>
      </c>
      <c r="M54" s="281">
        <f t="shared" si="35"/>
        <v>0</v>
      </c>
      <c r="N54" s="281">
        <f t="shared" si="35"/>
        <v>0</v>
      </c>
      <c r="O54" s="281">
        <f t="shared" si="35"/>
        <v>0</v>
      </c>
      <c r="P54" s="281">
        <f t="shared" si="35"/>
        <v>0</v>
      </c>
      <c r="Q54" s="281">
        <f t="shared" si="35"/>
        <v>0</v>
      </c>
      <c r="R54" s="281">
        <f t="shared" si="35"/>
        <v>0</v>
      </c>
      <c r="S54" s="281">
        <f t="shared" si="35"/>
        <v>0</v>
      </c>
      <c r="T54" s="281">
        <f t="shared" si="35"/>
        <v>0</v>
      </c>
      <c r="U54" s="281">
        <f t="shared" si="35"/>
        <v>0</v>
      </c>
      <c r="V54" s="281">
        <f t="shared" si="35"/>
        <v>0</v>
      </c>
    </row>
    <row r="55" spans="1:22" outlineLevel="1">
      <c r="A55" s="276" t="s">
        <v>190</v>
      </c>
      <c r="B55" s="276"/>
      <c r="C55" s="291">
        <f>C52+C53+C54</f>
        <v>0</v>
      </c>
      <c r="D55" s="291">
        <f t="shared" ref="D55:V55" si="36">D52+D53+D54</f>
        <v>0</v>
      </c>
      <c r="E55" s="291">
        <f t="shared" si="36"/>
        <v>0</v>
      </c>
      <c r="F55" s="291">
        <f t="shared" si="36"/>
        <v>0</v>
      </c>
      <c r="G55" s="291">
        <f t="shared" si="36"/>
        <v>0</v>
      </c>
      <c r="H55" s="291">
        <f t="shared" si="36"/>
        <v>0</v>
      </c>
      <c r="I55" s="291">
        <f t="shared" si="36"/>
        <v>0</v>
      </c>
      <c r="J55" s="291">
        <f t="shared" si="36"/>
        <v>0</v>
      </c>
      <c r="K55" s="291">
        <f t="shared" si="36"/>
        <v>0</v>
      </c>
      <c r="L55" s="291">
        <f t="shared" si="36"/>
        <v>0</v>
      </c>
      <c r="M55" s="291">
        <f t="shared" si="36"/>
        <v>0</v>
      </c>
      <c r="N55" s="291">
        <f t="shared" si="36"/>
        <v>0</v>
      </c>
      <c r="O55" s="291">
        <f t="shared" si="36"/>
        <v>0</v>
      </c>
      <c r="P55" s="291">
        <f t="shared" si="36"/>
        <v>0</v>
      </c>
      <c r="Q55" s="291">
        <f t="shared" si="36"/>
        <v>0</v>
      </c>
      <c r="R55" s="291">
        <f t="shared" si="36"/>
        <v>0</v>
      </c>
      <c r="S55" s="291">
        <f t="shared" si="36"/>
        <v>0</v>
      </c>
      <c r="T55" s="291">
        <f t="shared" si="36"/>
        <v>0</v>
      </c>
      <c r="U55" s="291">
        <f t="shared" si="36"/>
        <v>0</v>
      </c>
      <c r="V55" s="291">
        <f t="shared" si="36"/>
        <v>0</v>
      </c>
    </row>
  </sheetData>
  <sheetProtection algorithmName="SHA-512" hashValue="zDWN0C6xGaVig/Dxr605y3T4JG05XBo1tkcemsV3PBaWOV0FvXNHK8cGZrcUzduIkVdxdIvnIPocTO6PAdfv0g==" saltValue="7RlPMjihHRtQ06Zn9fE3EA==" spinCount="100000" sheet="1" objects="1" scenarios="1" selectLockedCells="1"/>
  <phoneticPr fontId="0" type="noConversion"/>
  <printOptions horizontalCentered="1"/>
  <pageMargins left="0.5" right="0.5" top="0.5" bottom="0.5" header="0.5" footer="0.5"/>
  <pageSetup scale="78" fitToWidth="0" orientation="landscape" r:id="rId1"/>
  <headerFooter alignWithMargins="0"/>
  <colBreaks count="1" manualBreakCount="1">
    <brk id="12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18"/>
  <sheetViews>
    <sheetView showGridLines="0" zoomScaleNormal="100" workbookViewId="0">
      <selection activeCell="K8" sqref="K8"/>
    </sheetView>
  </sheetViews>
  <sheetFormatPr defaultColWidth="9.140625" defaultRowHeight="15"/>
  <cols>
    <col min="1" max="1" width="1.85546875" style="339" customWidth="1"/>
    <col min="2" max="2" width="28.42578125" style="339" customWidth="1"/>
    <col min="3" max="3" width="11.5703125" style="156" customWidth="1"/>
    <col min="4" max="4" width="12.28515625" style="339" bestFit="1" customWidth="1"/>
    <col min="5" max="5" width="11.5703125" style="339" customWidth="1"/>
    <col min="6" max="6" width="14.28515625" style="340" customWidth="1"/>
    <col min="7" max="7" width="8.5703125" style="340" bestFit="1" customWidth="1"/>
    <col min="8" max="8" width="11.140625" style="340" bestFit="1" customWidth="1"/>
    <col min="9" max="9" width="12.7109375" style="340" bestFit="1" customWidth="1"/>
    <col min="10" max="10" width="2.7109375" style="339" bestFit="1" customWidth="1"/>
    <col min="11" max="11" width="61" style="339" customWidth="1"/>
    <col min="12" max="16384" width="9.140625" style="339"/>
  </cols>
  <sheetData>
    <row r="1" spans="1:11" s="389" customFormat="1" ht="15.75">
      <c r="A1" s="38"/>
      <c r="B1" s="108" t="str">
        <f>"DEVELOPMENT BUDGET: "&amp;Project&amp;" ("&amp;Developer&amp;")"</f>
        <v>DEVELOPMENT BUDGET:  ()</v>
      </c>
      <c r="C1" s="108"/>
      <c r="D1" s="108"/>
      <c r="E1" s="108"/>
      <c r="F1" s="108"/>
      <c r="G1" s="108"/>
      <c r="H1" s="108"/>
      <c r="I1" s="108"/>
      <c r="J1" s="108"/>
      <c r="K1" s="108"/>
    </row>
    <row r="2" spans="1:11" s="38" customFormat="1" ht="12.75">
      <c r="B2" s="320"/>
      <c r="C2" s="321"/>
      <c r="D2" s="332"/>
      <c r="E2" s="342"/>
      <c r="F2" s="5"/>
      <c r="G2" s="5"/>
      <c r="H2" s="390"/>
      <c r="I2" s="390"/>
    </row>
    <row r="3" spans="1:11" s="38" customFormat="1" ht="12.75">
      <c r="B3" s="331" t="s">
        <v>207</v>
      </c>
      <c r="C3" s="321"/>
      <c r="D3" s="332"/>
      <c r="E3" s="342"/>
      <c r="F3" s="13" t="s">
        <v>23</v>
      </c>
      <c r="G3" s="13" t="s">
        <v>34</v>
      </c>
      <c r="H3" s="13" t="s">
        <v>208</v>
      </c>
      <c r="I3" s="13" t="s">
        <v>209</v>
      </c>
      <c r="K3" s="13" t="s">
        <v>133</v>
      </c>
    </row>
    <row r="4" spans="1:11" s="38" customFormat="1" ht="12.75">
      <c r="B4" s="356" t="s">
        <v>210</v>
      </c>
      <c r="C4" s="387"/>
      <c r="D4" s="387"/>
      <c r="E4" s="376"/>
      <c r="F4" s="308"/>
      <c r="G4" s="6" t="e">
        <f>F4/Units</f>
        <v>#DIV/0!</v>
      </c>
      <c r="H4" s="341"/>
      <c r="I4" s="309">
        <f t="shared" ref="I4:I9" si="0">F4</f>
        <v>0</v>
      </c>
      <c r="K4" s="310"/>
    </row>
    <row r="5" spans="1:11" s="38" customFormat="1" ht="12.75">
      <c r="B5" s="320" t="s">
        <v>211</v>
      </c>
      <c r="C5" s="388"/>
      <c r="D5" s="346"/>
      <c r="E5" s="353"/>
      <c r="F5" s="308"/>
      <c r="G5" s="6" t="e">
        <f>F5/Units</f>
        <v>#DIV/0!</v>
      </c>
      <c r="H5" s="309">
        <f t="shared" ref="H5:H9" si="1">F5</f>
        <v>0</v>
      </c>
      <c r="I5" s="309">
        <f t="shared" si="0"/>
        <v>0</v>
      </c>
      <c r="K5" s="310"/>
    </row>
    <row r="6" spans="1:11" s="38" customFormat="1" ht="12.75">
      <c r="B6" s="320" t="s">
        <v>212</v>
      </c>
      <c r="C6" s="388"/>
      <c r="D6" s="346"/>
      <c r="E6" s="353"/>
      <c r="F6" s="308"/>
      <c r="G6" s="6" t="e">
        <f>F6/Units</f>
        <v>#DIV/0!</v>
      </c>
      <c r="H6" s="309">
        <f t="shared" ref="H6:H8" si="2">F6</f>
        <v>0</v>
      </c>
      <c r="I6" s="309">
        <f t="shared" ref="I6:I8" si="3">F6</f>
        <v>0</v>
      </c>
      <c r="K6" s="310"/>
    </row>
    <row r="7" spans="1:11" s="38" customFormat="1" ht="12.75">
      <c r="B7" s="320" t="s">
        <v>213</v>
      </c>
      <c r="C7" s="388"/>
      <c r="D7" s="346"/>
      <c r="E7" s="353"/>
      <c r="F7" s="308"/>
      <c r="G7" s="6" t="e">
        <f>F7/Units</f>
        <v>#DIV/0!</v>
      </c>
      <c r="H7" s="309">
        <f t="shared" si="2"/>
        <v>0</v>
      </c>
      <c r="I7" s="309">
        <f t="shared" si="3"/>
        <v>0</v>
      </c>
      <c r="K7" s="310"/>
    </row>
    <row r="8" spans="1:11" s="38" customFormat="1" ht="12.75">
      <c r="B8" s="320" t="s">
        <v>214</v>
      </c>
      <c r="C8" s="388"/>
      <c r="D8" s="346"/>
      <c r="E8" s="353"/>
      <c r="F8" s="308"/>
      <c r="G8" s="6" t="e">
        <f>F8/Units</f>
        <v>#DIV/0!</v>
      </c>
      <c r="H8" s="309">
        <f t="shared" si="2"/>
        <v>0</v>
      </c>
      <c r="I8" s="309">
        <f t="shared" si="3"/>
        <v>0</v>
      </c>
      <c r="K8" s="310"/>
    </row>
    <row r="9" spans="1:11" s="38" customFormat="1" ht="12.75">
      <c r="B9" s="311" t="s">
        <v>215</v>
      </c>
      <c r="C9" s="311"/>
      <c r="D9" s="311"/>
      <c r="E9" s="354"/>
      <c r="F9" s="308"/>
      <c r="G9" s="6" t="e">
        <f t="shared" ref="G9" si="4">F9/Units</f>
        <v>#DIV/0!</v>
      </c>
      <c r="H9" s="312">
        <f t="shared" si="1"/>
        <v>0</v>
      </c>
      <c r="I9" s="309">
        <f t="shared" si="0"/>
        <v>0</v>
      </c>
      <c r="K9" s="310"/>
    </row>
    <row r="10" spans="1:11" s="38" customFormat="1" ht="12.75">
      <c r="B10" s="320"/>
      <c r="C10" s="321"/>
      <c r="D10" s="323"/>
      <c r="E10" s="322" t="s">
        <v>216</v>
      </c>
      <c r="F10" s="7">
        <f>SUM(F4:F9)</f>
        <v>0</v>
      </c>
      <c r="G10" s="8" t="e">
        <f>F10/Units</f>
        <v>#DIV/0!</v>
      </c>
      <c r="H10" s="7">
        <f t="shared" ref="H10:I10" si="5">SUM(H4:H9)</f>
        <v>0</v>
      </c>
      <c r="I10" s="7">
        <f t="shared" si="5"/>
        <v>0</v>
      </c>
    </row>
    <row r="11" spans="1:11" s="38" customFormat="1" ht="12.75">
      <c r="B11" s="329" t="s">
        <v>217</v>
      </c>
      <c r="C11" s="321"/>
      <c r="D11" s="332"/>
      <c r="E11" s="342"/>
      <c r="F11" s="13" t="s">
        <v>23</v>
      </c>
      <c r="G11" s="13" t="s">
        <v>34</v>
      </c>
      <c r="H11" s="13" t="s">
        <v>208</v>
      </c>
      <c r="I11" s="13" t="s">
        <v>209</v>
      </c>
      <c r="K11" s="13" t="s">
        <v>133</v>
      </c>
    </row>
    <row r="12" spans="1:11" s="38" customFormat="1" ht="12.75">
      <c r="B12" s="356" t="s">
        <v>218</v>
      </c>
      <c r="C12" s="375" t="s">
        <v>219</v>
      </c>
      <c r="D12" s="357"/>
      <c r="E12" s="386"/>
      <c r="F12" s="308"/>
      <c r="G12" s="6" t="e">
        <f>F12/Units</f>
        <v>#DIV/0!</v>
      </c>
      <c r="H12" s="309">
        <f>F12</f>
        <v>0</v>
      </c>
      <c r="I12" s="309">
        <f>F12</f>
        <v>0</v>
      </c>
      <c r="K12" s="310"/>
    </row>
    <row r="13" spans="1:11" s="38" customFormat="1" ht="12.75">
      <c r="B13" s="342" t="s">
        <v>220</v>
      </c>
      <c r="C13" s="377" t="s">
        <v>221</v>
      </c>
      <c r="D13" s="321"/>
      <c r="E13" s="321"/>
      <c r="F13" s="308"/>
      <c r="G13" s="6" t="e">
        <f t="shared" ref="G13:G21" si="6">F13/Units</f>
        <v>#DIV/0!</v>
      </c>
      <c r="H13" s="312"/>
      <c r="I13" s="341"/>
      <c r="K13" s="310" t="s">
        <v>222</v>
      </c>
    </row>
    <row r="14" spans="1:11" s="38" customFormat="1" ht="12.75">
      <c r="B14" s="342" t="s">
        <v>223</v>
      </c>
      <c r="C14" s="377" t="s">
        <v>219</v>
      </c>
      <c r="D14" s="321"/>
      <c r="E14" s="321"/>
      <c r="F14" s="308"/>
      <c r="G14" s="6" t="e">
        <f t="shared" ref="G14" si="7">F14/Units</f>
        <v>#DIV/0!</v>
      </c>
      <c r="H14" s="309">
        <f t="shared" ref="H14" si="8">F14</f>
        <v>0</v>
      </c>
      <c r="I14" s="309">
        <f t="shared" ref="I14" si="9">F14</f>
        <v>0</v>
      </c>
      <c r="K14" s="310"/>
    </row>
    <row r="15" spans="1:11" s="38" customFormat="1" ht="12.75">
      <c r="B15" s="320" t="s">
        <v>224</v>
      </c>
      <c r="C15" s="377" t="s">
        <v>219</v>
      </c>
      <c r="D15" s="2"/>
      <c r="E15" s="353"/>
      <c r="F15" s="308"/>
      <c r="G15" s="6" t="e">
        <f t="shared" si="6"/>
        <v>#DIV/0!</v>
      </c>
      <c r="H15" s="309">
        <f t="shared" ref="H15:H17" si="10">F15</f>
        <v>0</v>
      </c>
      <c r="I15" s="309">
        <f t="shared" ref="I15" si="11">F15</f>
        <v>0</v>
      </c>
      <c r="K15" s="310"/>
    </row>
    <row r="16" spans="1:11" s="38" customFormat="1" ht="12.75">
      <c r="B16" s="320" t="s">
        <v>225</v>
      </c>
      <c r="C16" s="377" t="s">
        <v>219</v>
      </c>
      <c r="D16" s="2"/>
      <c r="E16" s="353"/>
      <c r="F16" s="308"/>
      <c r="G16" s="6" t="e">
        <f t="shared" ref="G16" si="12">F16/Units</f>
        <v>#DIV/0!</v>
      </c>
      <c r="H16" s="309">
        <f t="shared" ref="H16" si="13">F16</f>
        <v>0</v>
      </c>
      <c r="I16" s="309">
        <f t="shared" ref="I16" si="14">F16</f>
        <v>0</v>
      </c>
      <c r="K16" s="310"/>
    </row>
    <row r="17" spans="2:11" s="38" customFormat="1" ht="12.75">
      <c r="B17" s="342" t="s">
        <v>226</v>
      </c>
      <c r="C17" s="377" t="s">
        <v>219</v>
      </c>
      <c r="D17" s="321"/>
      <c r="E17" s="321"/>
      <c r="F17" s="308"/>
      <c r="G17" s="6" t="e">
        <f>F17/Units</f>
        <v>#DIV/0!</v>
      </c>
      <c r="H17" s="312">
        <f t="shared" si="10"/>
        <v>0</v>
      </c>
      <c r="I17" s="341"/>
      <c r="K17" s="310" t="s">
        <v>227</v>
      </c>
    </row>
    <row r="18" spans="2:11" s="38" customFormat="1" ht="12.75">
      <c r="B18" s="342" t="s">
        <v>228</v>
      </c>
      <c r="C18" s="377" t="s">
        <v>219</v>
      </c>
      <c r="D18" s="321"/>
      <c r="E18" s="321"/>
      <c r="F18" s="308"/>
      <c r="G18" s="6" t="e">
        <f>F18/Units</f>
        <v>#DIV/0!</v>
      </c>
      <c r="H18" s="312">
        <f t="shared" ref="H18" si="15">F18</f>
        <v>0</v>
      </c>
      <c r="I18" s="341"/>
      <c r="K18" s="310"/>
    </row>
    <row r="19" spans="2:11" s="38" customFormat="1" ht="12.75">
      <c r="B19" s="342"/>
      <c r="C19" s="321"/>
      <c r="D19" s="385" t="s">
        <v>229</v>
      </c>
      <c r="E19" s="338">
        <f>SUM(F12:F18)</f>
        <v>0</v>
      </c>
      <c r="F19" s="9"/>
      <c r="G19" s="9"/>
      <c r="H19" s="9"/>
      <c r="I19" s="9"/>
    </row>
    <row r="20" spans="2:11" s="38" customFormat="1" ht="12.75">
      <c r="B20" s="320" t="s">
        <v>230</v>
      </c>
      <c r="C20" s="313">
        <v>0.06</v>
      </c>
      <c r="D20" s="380" t="s">
        <v>231</v>
      </c>
      <c r="F20" s="10">
        <f>C20*$E$19</f>
        <v>0</v>
      </c>
      <c r="G20" s="6" t="e">
        <f>F20/Units</f>
        <v>#DIV/0!</v>
      </c>
      <c r="H20" s="309">
        <f>F20</f>
        <v>0</v>
      </c>
      <c r="I20" s="309">
        <f>F20</f>
        <v>0</v>
      </c>
      <c r="K20" s="310" t="s">
        <v>415</v>
      </c>
    </row>
    <row r="21" spans="2:11" s="38" customFormat="1" ht="12.75">
      <c r="B21" s="320" t="s">
        <v>232</v>
      </c>
      <c r="C21" s="313">
        <v>0.02</v>
      </c>
      <c r="D21" s="380" t="s">
        <v>231</v>
      </c>
      <c r="F21" s="10">
        <f>C21*$E$19</f>
        <v>0</v>
      </c>
      <c r="G21" s="6" t="e">
        <f t="shared" si="6"/>
        <v>#DIV/0!</v>
      </c>
      <c r="H21" s="309">
        <f t="shared" ref="H21:H25" si="16">F21</f>
        <v>0</v>
      </c>
      <c r="I21" s="309">
        <f t="shared" ref="I21" si="17">F21</f>
        <v>0</v>
      </c>
      <c r="K21" s="310" t="s">
        <v>233</v>
      </c>
    </row>
    <row r="22" spans="2:11" s="38" customFormat="1" ht="12.75">
      <c r="B22" s="320" t="s">
        <v>234</v>
      </c>
      <c r="C22" s="313">
        <v>0.06</v>
      </c>
      <c r="D22" s="380" t="s">
        <v>231</v>
      </c>
      <c r="F22" s="10">
        <f>C22*$E$19</f>
        <v>0</v>
      </c>
      <c r="G22" s="6" t="e">
        <f>F22/Units</f>
        <v>#DIV/0!</v>
      </c>
      <c r="H22" s="309">
        <f>F22</f>
        <v>0</v>
      </c>
      <c r="I22" s="309">
        <f>F22</f>
        <v>0</v>
      </c>
      <c r="K22" s="310"/>
    </row>
    <row r="23" spans="2:11" s="38" customFormat="1" ht="12.75">
      <c r="B23" s="342"/>
      <c r="C23" s="321"/>
      <c r="D23" s="385" t="s">
        <v>235</v>
      </c>
      <c r="E23" s="338">
        <f>E19+SUM(F20:F21)</f>
        <v>0</v>
      </c>
      <c r="F23" s="9"/>
      <c r="G23" s="9"/>
      <c r="H23" s="9"/>
      <c r="I23" s="9"/>
    </row>
    <row r="24" spans="2:11" s="38" customFormat="1" ht="12.75">
      <c r="B24" s="456" t="s">
        <v>147</v>
      </c>
      <c r="C24" s="456"/>
      <c r="D24" s="377" t="s">
        <v>221</v>
      </c>
      <c r="E24" s="353"/>
      <c r="F24" s="308"/>
      <c r="G24" s="6" t="e">
        <f t="shared" ref="G24:G26" si="18">F24/Units</f>
        <v>#DIV/0!</v>
      </c>
      <c r="H24" s="309">
        <f t="shared" ref="H24" si="19">F24</f>
        <v>0</v>
      </c>
      <c r="I24" s="309">
        <f t="shared" ref="I24" si="20">F24</f>
        <v>0</v>
      </c>
      <c r="K24" s="310"/>
    </row>
    <row r="25" spans="2:11" s="38" customFormat="1" ht="12.75">
      <c r="B25" s="314" t="s">
        <v>147</v>
      </c>
      <c r="C25" s="314"/>
      <c r="D25" s="377" t="s">
        <v>221</v>
      </c>
      <c r="E25" s="353"/>
      <c r="F25" s="308"/>
      <c r="G25" s="6" t="e">
        <f t="shared" si="18"/>
        <v>#DIV/0!</v>
      </c>
      <c r="H25" s="309">
        <f t="shared" si="16"/>
        <v>0</v>
      </c>
      <c r="I25" s="309">
        <f t="shared" ref="I25" si="21">F25</f>
        <v>0</v>
      </c>
      <c r="K25" s="310"/>
    </row>
    <row r="26" spans="2:11" s="38" customFormat="1" ht="12.75">
      <c r="B26" s="311" t="s">
        <v>147</v>
      </c>
      <c r="C26" s="311"/>
      <c r="D26" s="378" t="s">
        <v>221</v>
      </c>
      <c r="E26" s="276"/>
      <c r="F26" s="308"/>
      <c r="G26" s="6" t="e">
        <f t="shared" si="18"/>
        <v>#DIV/0!</v>
      </c>
      <c r="H26" s="309">
        <f t="shared" ref="H26" si="22">F26</f>
        <v>0</v>
      </c>
      <c r="I26" s="309">
        <f t="shared" ref="I26" si="23">F26</f>
        <v>0</v>
      </c>
      <c r="K26" s="310"/>
    </row>
    <row r="27" spans="2:11" s="38" customFormat="1" ht="12.75">
      <c r="B27" s="320"/>
      <c r="C27" s="384" t="e">
        <f>"$"&amp;ROUND(F27/SqFt,2)&amp;" per sq. ft."</f>
        <v>#DIV/0!</v>
      </c>
      <c r="D27" s="29"/>
      <c r="E27" s="322" t="s">
        <v>236</v>
      </c>
      <c r="F27" s="30">
        <f>SUM(F12:F26)</f>
        <v>0</v>
      </c>
      <c r="G27" s="31" t="e">
        <f>F27/Units</f>
        <v>#DIV/0!</v>
      </c>
      <c r="H27" s="30">
        <f t="shared" ref="H27:I27" si="24">SUM(H12:H26)</f>
        <v>0</v>
      </c>
      <c r="I27" s="30">
        <f t="shared" si="24"/>
        <v>0</v>
      </c>
      <c r="K27" s="156"/>
    </row>
    <row r="28" spans="2:11" s="38" customFormat="1" ht="12.75">
      <c r="B28" s="320"/>
      <c r="C28" s="384"/>
      <c r="D28" s="29"/>
      <c r="E28" s="322"/>
      <c r="F28" s="30"/>
      <c r="G28" s="31"/>
      <c r="H28" s="31"/>
      <c r="I28" s="31"/>
      <c r="K28" s="156"/>
    </row>
    <row r="29" spans="2:11" s="38" customFormat="1" ht="12.75">
      <c r="B29" s="383" t="s">
        <v>237</v>
      </c>
      <c r="C29" s="315">
        <v>0.05</v>
      </c>
      <c r="D29" s="382" t="s">
        <v>238</v>
      </c>
      <c r="E29" s="272"/>
      <c r="F29" s="308">
        <f>C29*E23</f>
        <v>0</v>
      </c>
      <c r="G29" s="6" t="e">
        <f>F29/Units</f>
        <v>#DIV/0!</v>
      </c>
      <c r="H29" s="316">
        <f>F29</f>
        <v>0</v>
      </c>
      <c r="I29" s="347"/>
      <c r="K29" s="310" t="s">
        <v>239</v>
      </c>
    </row>
    <row r="30" spans="2:11" s="38" customFormat="1" ht="12.75">
      <c r="B30" s="342"/>
      <c r="C30" s="79" t="e">
        <f>F29/F27</f>
        <v>#DIV/0!</v>
      </c>
      <c r="D30" s="380"/>
      <c r="F30" s="27"/>
      <c r="G30" s="28"/>
      <c r="H30" s="28"/>
      <c r="I30" s="28"/>
      <c r="K30" s="156"/>
    </row>
    <row r="31" spans="2:11" s="38" customFormat="1" ht="12.75">
      <c r="B31" s="331" t="s">
        <v>240</v>
      </c>
      <c r="C31" s="381"/>
      <c r="D31" s="380"/>
      <c r="F31" s="13" t="s">
        <v>23</v>
      </c>
      <c r="G31" s="13" t="s">
        <v>34</v>
      </c>
      <c r="H31" s="13" t="s">
        <v>208</v>
      </c>
      <c r="I31" s="13" t="s">
        <v>209</v>
      </c>
      <c r="K31" s="156"/>
    </row>
    <row r="32" spans="2:11" s="38" customFormat="1" ht="12.75">
      <c r="B32" s="356" t="s">
        <v>241</v>
      </c>
      <c r="C32" s="213"/>
      <c r="D32" s="370"/>
      <c r="E32" s="376"/>
      <c r="F32" s="308"/>
      <c r="G32" s="6" t="e">
        <f>F32/Units</f>
        <v>#DIV/0!</v>
      </c>
      <c r="H32" s="309">
        <f>F32</f>
        <v>0</v>
      </c>
      <c r="I32" s="309">
        <f>F32</f>
        <v>0</v>
      </c>
      <c r="K32" s="310"/>
    </row>
    <row r="33" spans="2:11" s="38" customFormat="1" ht="12.75">
      <c r="B33" s="342" t="s">
        <v>242</v>
      </c>
      <c r="D33" s="346"/>
      <c r="E33" s="353"/>
      <c r="F33" s="308"/>
      <c r="G33" s="6" t="e">
        <f>F33/Units</f>
        <v>#DIV/0!</v>
      </c>
      <c r="H33" s="309">
        <f t="shared" ref="H33" si="25">F33</f>
        <v>0</v>
      </c>
      <c r="I33" s="309">
        <f t="shared" ref="I33" si="26">F33</f>
        <v>0</v>
      </c>
      <c r="K33" s="310"/>
    </row>
    <row r="34" spans="2:11" s="38" customFormat="1" ht="12.75">
      <c r="B34" s="342" t="s">
        <v>243</v>
      </c>
      <c r="C34" s="320"/>
      <c r="D34" s="346"/>
      <c r="E34" s="353"/>
      <c r="F34" s="308"/>
      <c r="G34" s="6" t="e">
        <f>F34/Units</f>
        <v>#DIV/0!</v>
      </c>
      <c r="H34" s="309">
        <f>F34</f>
        <v>0</v>
      </c>
      <c r="I34" s="309">
        <f>F34</f>
        <v>0</v>
      </c>
      <c r="K34" s="310"/>
    </row>
    <row r="35" spans="2:11" s="38" customFormat="1" ht="12.75">
      <c r="B35" s="311" t="s">
        <v>244</v>
      </c>
      <c r="C35" s="311"/>
      <c r="D35" s="311"/>
      <c r="E35" s="354"/>
      <c r="F35" s="308"/>
      <c r="G35" s="6" t="e">
        <f t="shared" ref="G35" si="27">F35/Units</f>
        <v>#DIV/0!</v>
      </c>
      <c r="H35" s="309">
        <f t="shared" ref="H35" si="28">F35</f>
        <v>0</v>
      </c>
      <c r="I35" s="309">
        <f t="shared" ref="I35" si="29">F35</f>
        <v>0</v>
      </c>
      <c r="K35" s="310"/>
    </row>
    <row r="36" spans="2:11" s="38" customFormat="1" ht="12.75">
      <c r="B36" s="320"/>
      <c r="C36" s="379" t="e">
        <f>F36/(E19+F29)</f>
        <v>#DIV/0!</v>
      </c>
      <c r="D36" s="320"/>
      <c r="E36" s="322" t="s">
        <v>245</v>
      </c>
      <c r="F36" s="30">
        <f>SUM(F32:F35)</f>
        <v>0</v>
      </c>
      <c r="G36" s="31" t="e">
        <f>F36/Units</f>
        <v>#DIV/0!</v>
      </c>
      <c r="H36" s="30">
        <f t="shared" ref="H36:I36" si="30">SUM(H32:H35)</f>
        <v>0</v>
      </c>
      <c r="I36" s="30">
        <f t="shared" si="30"/>
        <v>0</v>
      </c>
      <c r="K36" s="156"/>
    </row>
    <row r="37" spans="2:11" s="38" customFormat="1" ht="12.75">
      <c r="B37" s="329" t="s">
        <v>246</v>
      </c>
      <c r="C37" s="320"/>
      <c r="D37" s="320"/>
      <c r="E37" s="353"/>
      <c r="F37" s="13" t="s">
        <v>23</v>
      </c>
      <c r="G37" s="13" t="s">
        <v>34</v>
      </c>
      <c r="H37" s="13" t="s">
        <v>208</v>
      </c>
      <c r="I37" s="13" t="s">
        <v>209</v>
      </c>
      <c r="K37" s="156"/>
    </row>
    <row r="38" spans="2:11" s="38" customFormat="1" ht="12.75">
      <c r="B38" s="356" t="s">
        <v>247</v>
      </c>
      <c r="C38" s="375" t="s">
        <v>221</v>
      </c>
      <c r="D38" s="357"/>
      <c r="E38" s="376"/>
      <c r="F38" s="308"/>
      <c r="G38" s="6" t="e">
        <f>F38/Units</f>
        <v>#DIV/0!</v>
      </c>
      <c r="H38" s="309">
        <f>F38</f>
        <v>0</v>
      </c>
      <c r="I38" s="309">
        <f>F38</f>
        <v>0</v>
      </c>
      <c r="K38" s="310"/>
    </row>
    <row r="39" spans="2:11" s="38" customFormat="1" ht="12.75">
      <c r="B39" s="342" t="s">
        <v>248</v>
      </c>
      <c r="C39" s="377"/>
      <c r="D39" s="321"/>
      <c r="E39" s="353"/>
      <c r="F39" s="308"/>
      <c r="G39" s="6" t="e">
        <f>F39/Units</f>
        <v>#DIV/0!</v>
      </c>
      <c r="H39" s="309">
        <f t="shared" ref="H39:H40" si="31">F39</f>
        <v>0</v>
      </c>
      <c r="I39" s="309">
        <f t="shared" ref="I39:I40" si="32">F39</f>
        <v>0</v>
      </c>
      <c r="K39" s="310"/>
    </row>
    <row r="40" spans="2:11" s="38" customFormat="1" ht="12.75">
      <c r="B40" s="342" t="s">
        <v>249</v>
      </c>
      <c r="C40" s="377"/>
      <c r="D40" s="321"/>
      <c r="E40" s="353"/>
      <c r="F40" s="308"/>
      <c r="G40" s="6" t="e">
        <f>F40/Units</f>
        <v>#DIV/0!</v>
      </c>
      <c r="H40" s="309">
        <f t="shared" si="31"/>
        <v>0</v>
      </c>
      <c r="I40" s="309">
        <f t="shared" si="32"/>
        <v>0</v>
      </c>
      <c r="K40" s="310"/>
    </row>
    <row r="41" spans="2:11" s="38" customFormat="1" ht="12.75">
      <c r="B41" s="343" t="s">
        <v>250</v>
      </c>
      <c r="C41" s="378" t="s">
        <v>221</v>
      </c>
      <c r="D41" s="363"/>
      <c r="E41" s="354"/>
      <c r="F41" s="308"/>
      <c r="G41" s="6" t="e">
        <f>F41/Units</f>
        <v>#DIV/0!</v>
      </c>
      <c r="H41" s="309">
        <f>F41</f>
        <v>0</v>
      </c>
      <c r="I41" s="309">
        <f>F41</f>
        <v>0</v>
      </c>
      <c r="K41" s="310"/>
    </row>
    <row r="42" spans="2:11" s="38" customFormat="1" ht="12.75">
      <c r="B42" s="342"/>
      <c r="E42" s="322" t="s">
        <v>251</v>
      </c>
      <c r="F42" s="30">
        <f>SUM(F38:F41)</f>
        <v>0</v>
      </c>
      <c r="G42" s="31" t="e">
        <f>F42/Units</f>
        <v>#DIV/0!</v>
      </c>
      <c r="H42" s="30">
        <f t="shared" ref="H42:I42" si="33">SUM(H38:H41)</f>
        <v>0</v>
      </c>
      <c r="I42" s="30">
        <f t="shared" si="33"/>
        <v>0</v>
      </c>
    </row>
    <row r="43" spans="2:11" s="38" customFormat="1" ht="12.75">
      <c r="B43" s="458" t="s">
        <v>252</v>
      </c>
      <c r="C43" s="321"/>
      <c r="D43" s="332"/>
      <c r="E43" s="342"/>
      <c r="F43" s="13" t="s">
        <v>23</v>
      </c>
      <c r="G43" s="13" t="s">
        <v>34</v>
      </c>
      <c r="H43" s="13" t="s">
        <v>208</v>
      </c>
      <c r="I43" s="13" t="s">
        <v>209</v>
      </c>
      <c r="K43" s="13" t="s">
        <v>133</v>
      </c>
    </row>
    <row r="44" spans="2:11" s="38" customFormat="1" ht="12.75">
      <c r="B44" s="459" t="s">
        <v>253</v>
      </c>
      <c r="C44" s="357"/>
      <c r="D44" s="370"/>
      <c r="E44" s="356"/>
      <c r="F44" s="308"/>
      <c r="G44" s="6" t="e">
        <f t="shared" ref="G44:G49" si="34">F44/Units</f>
        <v>#DIV/0!</v>
      </c>
      <c r="H44" s="309">
        <f t="shared" ref="H44:H48" si="35">F44</f>
        <v>0</v>
      </c>
      <c r="I44" s="309">
        <f t="shared" ref="I44:I48" si="36">F44</f>
        <v>0</v>
      </c>
      <c r="K44" s="310"/>
    </row>
    <row r="45" spans="2:11" s="38" customFormat="1" ht="12.75">
      <c r="B45" s="460" t="s">
        <v>254</v>
      </c>
      <c r="C45" s="321"/>
      <c r="D45" s="346"/>
      <c r="E45" s="342"/>
      <c r="F45" s="308"/>
      <c r="G45" s="6" t="e">
        <f t="shared" si="34"/>
        <v>#DIV/0!</v>
      </c>
      <c r="H45" s="309">
        <f t="shared" si="35"/>
        <v>0</v>
      </c>
      <c r="I45" s="309">
        <f t="shared" si="36"/>
        <v>0</v>
      </c>
      <c r="K45" s="310"/>
    </row>
    <row r="46" spans="2:11" s="38" customFormat="1" ht="12.75">
      <c r="B46" s="314" t="s">
        <v>147</v>
      </c>
      <c r="C46" s="314"/>
      <c r="D46" s="314"/>
      <c r="E46" s="342"/>
      <c r="F46" s="308"/>
      <c r="G46" s="6" t="e">
        <f t="shared" si="34"/>
        <v>#DIV/0!</v>
      </c>
      <c r="H46" s="309">
        <f t="shared" ref="H46:H47" si="37">F46</f>
        <v>0</v>
      </c>
      <c r="I46" s="309">
        <f t="shared" ref="I46:I47" si="38">F46</f>
        <v>0</v>
      </c>
      <c r="K46" s="310"/>
    </row>
    <row r="47" spans="2:11" s="38" customFormat="1" ht="12.75">
      <c r="B47" s="314" t="s">
        <v>147</v>
      </c>
      <c r="C47" s="314"/>
      <c r="D47" s="314"/>
      <c r="E47" s="342"/>
      <c r="F47" s="308"/>
      <c r="G47" s="6" t="e">
        <f t="shared" si="34"/>
        <v>#DIV/0!</v>
      </c>
      <c r="H47" s="309">
        <f t="shared" si="37"/>
        <v>0</v>
      </c>
      <c r="I47" s="309">
        <f t="shared" si="38"/>
        <v>0</v>
      </c>
      <c r="K47" s="310"/>
    </row>
    <row r="48" spans="2:11" s="38" customFormat="1" ht="12.75">
      <c r="B48" s="311" t="s">
        <v>147</v>
      </c>
      <c r="C48" s="311"/>
      <c r="D48" s="311"/>
      <c r="E48" s="363"/>
      <c r="F48" s="308"/>
      <c r="G48" s="6" t="e">
        <f t="shared" si="34"/>
        <v>#DIV/0!</v>
      </c>
      <c r="H48" s="309">
        <f t="shared" si="35"/>
        <v>0</v>
      </c>
      <c r="I48" s="309">
        <f t="shared" si="36"/>
        <v>0</v>
      </c>
      <c r="K48" s="310"/>
    </row>
    <row r="49" spans="2:11" s="38" customFormat="1" ht="12.75">
      <c r="B49" s="342"/>
      <c r="C49" s="321"/>
      <c r="D49" s="3"/>
      <c r="E49" s="374" t="s">
        <v>255</v>
      </c>
      <c r="F49" s="7">
        <f>SUM(F44:F48)</f>
        <v>0</v>
      </c>
      <c r="G49" s="8" t="e">
        <f t="shared" si="34"/>
        <v>#DIV/0!</v>
      </c>
      <c r="H49" s="7">
        <f t="shared" ref="H49:I49" si="39">SUM(H44:H48)</f>
        <v>0</v>
      </c>
      <c r="I49" s="7">
        <f t="shared" si="39"/>
        <v>0</v>
      </c>
    </row>
    <row r="50" spans="2:11" s="38" customFormat="1" ht="12.75">
      <c r="B50" s="329" t="s">
        <v>256</v>
      </c>
      <c r="C50" s="330"/>
      <c r="D50" s="346"/>
      <c r="E50" s="342"/>
      <c r="F50" s="13" t="s">
        <v>23</v>
      </c>
      <c r="G50" s="13" t="s">
        <v>34</v>
      </c>
      <c r="H50" s="13" t="s">
        <v>208</v>
      </c>
      <c r="I50" s="13" t="s">
        <v>209</v>
      </c>
      <c r="K50" s="13" t="s">
        <v>133</v>
      </c>
    </row>
    <row r="51" spans="2:11" s="38" customFormat="1" ht="12.75">
      <c r="B51" s="368" t="s">
        <v>257</v>
      </c>
      <c r="C51" s="369"/>
      <c r="D51" s="370"/>
      <c r="E51" s="367"/>
      <c r="F51" s="308"/>
      <c r="G51" s="6" t="e">
        <f>F51/Units</f>
        <v>#DIV/0!</v>
      </c>
      <c r="H51" s="309">
        <f>F51</f>
        <v>0</v>
      </c>
      <c r="I51" s="309">
        <f>F51</f>
        <v>0</v>
      </c>
      <c r="K51" s="310"/>
    </row>
    <row r="52" spans="2:11" s="38" customFormat="1" ht="12.75">
      <c r="B52" s="320" t="s">
        <v>258</v>
      </c>
      <c r="C52" s="330"/>
      <c r="D52" s="321"/>
      <c r="E52" s="371"/>
      <c r="F52" s="308"/>
      <c r="G52" s="6" t="e">
        <f>F52/Units</f>
        <v>#DIV/0!</v>
      </c>
      <c r="H52" s="309">
        <f>F52</f>
        <v>0</v>
      </c>
      <c r="I52" s="309">
        <f>F52</f>
        <v>0</v>
      </c>
      <c r="K52" s="310"/>
    </row>
    <row r="53" spans="2:11" s="38" customFormat="1" ht="12.75">
      <c r="B53" s="342" t="s">
        <v>259</v>
      </c>
      <c r="C53" s="321"/>
      <c r="D53" s="321"/>
      <c r="E53" s="321"/>
      <c r="F53" s="308"/>
      <c r="G53" s="6" t="e">
        <f t="shared" ref="G53:G62" si="40">F53/Units</f>
        <v>#DIV/0!</v>
      </c>
      <c r="H53" s="309">
        <f t="shared" ref="H53:H62" si="41">F53</f>
        <v>0</v>
      </c>
      <c r="I53" s="309">
        <f t="shared" ref="I53:I62" si="42">F53</f>
        <v>0</v>
      </c>
      <c r="K53" s="310"/>
    </row>
    <row r="54" spans="2:11" s="38" customFormat="1" ht="12.75">
      <c r="B54" s="320" t="s">
        <v>260</v>
      </c>
      <c r="C54" s="321"/>
      <c r="D54" s="321"/>
      <c r="E54" s="342"/>
      <c r="F54" s="308"/>
      <c r="G54" s="6" t="e">
        <f t="shared" si="40"/>
        <v>#DIV/0!</v>
      </c>
      <c r="H54" s="309">
        <f t="shared" si="41"/>
        <v>0</v>
      </c>
      <c r="I54" s="309">
        <f t="shared" si="42"/>
        <v>0</v>
      </c>
      <c r="K54" s="310"/>
    </row>
    <row r="55" spans="2:11" s="38" customFormat="1" ht="12.75">
      <c r="B55" s="320" t="s">
        <v>261</v>
      </c>
      <c r="C55" s="321"/>
      <c r="D55" s="344" t="s">
        <v>419</v>
      </c>
      <c r="E55" s="281">
        <f>'7)Const Cash Flow'!AN10</f>
        <v>0</v>
      </c>
      <c r="F55" s="312"/>
      <c r="G55" s="6" t="e">
        <f>F55/Units</f>
        <v>#DIV/0!</v>
      </c>
      <c r="H55" s="309">
        <f>F55</f>
        <v>0</v>
      </c>
      <c r="I55" s="309">
        <f>F55</f>
        <v>0</v>
      </c>
      <c r="K55" s="310" t="s">
        <v>262</v>
      </c>
    </row>
    <row r="56" spans="2:11" s="38" customFormat="1" ht="12.75">
      <c r="B56" s="320" t="s">
        <v>263</v>
      </c>
      <c r="C56" s="321"/>
      <c r="D56" s="344"/>
      <c r="E56" s="281"/>
      <c r="F56" s="309"/>
      <c r="G56" s="6" t="e">
        <f>F56/Units</f>
        <v>#DIV/0!</v>
      </c>
      <c r="H56" s="309">
        <f t="shared" ref="H56:H61" si="43">F56</f>
        <v>0</v>
      </c>
      <c r="I56" s="309">
        <f t="shared" ref="I56:I61" si="44">F56</f>
        <v>0</v>
      </c>
      <c r="K56" s="310"/>
    </row>
    <row r="57" spans="2:11" s="38" customFormat="1" ht="12.75">
      <c r="B57" s="320" t="s">
        <v>264</v>
      </c>
      <c r="C57" s="321"/>
      <c r="D57" s="321"/>
      <c r="E57" s="342"/>
      <c r="F57" s="308"/>
      <c r="G57" s="6" t="e">
        <f t="shared" si="40"/>
        <v>#DIV/0!</v>
      </c>
      <c r="H57" s="309">
        <f t="shared" si="43"/>
        <v>0</v>
      </c>
      <c r="I57" s="309">
        <f t="shared" si="44"/>
        <v>0</v>
      </c>
      <c r="K57" s="310"/>
    </row>
    <row r="58" spans="2:11" s="38" customFormat="1" ht="12.75">
      <c r="B58" s="320" t="s">
        <v>265</v>
      </c>
      <c r="C58" s="372"/>
      <c r="D58" s="346"/>
      <c r="E58" s="342"/>
      <c r="F58" s="308"/>
      <c r="G58" s="6" t="e">
        <f t="shared" si="40"/>
        <v>#DIV/0!</v>
      </c>
      <c r="H58" s="309">
        <f t="shared" si="43"/>
        <v>0</v>
      </c>
      <c r="I58" s="309">
        <f t="shared" si="44"/>
        <v>0</v>
      </c>
      <c r="K58" s="310"/>
    </row>
    <row r="59" spans="2:11" s="38" customFormat="1" ht="12.75">
      <c r="B59" s="373" t="s">
        <v>266</v>
      </c>
      <c r="C59" s="373"/>
      <c r="D59" s="373"/>
      <c r="E59" s="342"/>
      <c r="F59" s="308"/>
      <c r="G59" s="6" t="e">
        <f t="shared" ref="G59" si="45">F59/Units</f>
        <v>#DIV/0!</v>
      </c>
      <c r="H59" s="309">
        <f t="shared" si="43"/>
        <v>0</v>
      </c>
      <c r="I59" s="309">
        <f t="shared" si="44"/>
        <v>0</v>
      </c>
      <c r="K59" s="310"/>
    </row>
    <row r="60" spans="2:11" s="38" customFormat="1" ht="12.75">
      <c r="B60" s="373" t="s">
        <v>267</v>
      </c>
      <c r="C60" s="373"/>
      <c r="D60" s="373"/>
      <c r="E60" s="342"/>
      <c r="F60" s="308"/>
      <c r="G60" s="6" t="e">
        <f t="shared" si="40"/>
        <v>#DIV/0!</v>
      </c>
      <c r="H60" s="309">
        <f t="shared" si="43"/>
        <v>0</v>
      </c>
      <c r="I60" s="309">
        <f t="shared" si="44"/>
        <v>0</v>
      </c>
      <c r="K60" s="310"/>
    </row>
    <row r="61" spans="2:11" s="38" customFormat="1" ht="12.75">
      <c r="B61" s="456" t="s">
        <v>268</v>
      </c>
      <c r="C61" s="456"/>
      <c r="D61" s="456"/>
      <c r="E61" s="342"/>
      <c r="F61" s="308"/>
      <c r="G61" s="6" t="e">
        <f>F61/Units</f>
        <v>#DIV/0!</v>
      </c>
      <c r="H61" s="309">
        <f t="shared" si="43"/>
        <v>0</v>
      </c>
      <c r="I61" s="309">
        <f t="shared" si="44"/>
        <v>0</v>
      </c>
      <c r="K61" s="310"/>
    </row>
    <row r="62" spans="2:11" s="38" customFormat="1" ht="12.75">
      <c r="B62" s="311" t="s">
        <v>268</v>
      </c>
      <c r="C62" s="311"/>
      <c r="D62" s="311"/>
      <c r="E62" s="363"/>
      <c r="F62" s="308"/>
      <c r="G62" s="6" t="e">
        <f t="shared" si="40"/>
        <v>#DIV/0!</v>
      </c>
      <c r="H62" s="309">
        <f t="shared" si="41"/>
        <v>0</v>
      </c>
      <c r="I62" s="309">
        <f t="shared" si="42"/>
        <v>0</v>
      </c>
      <c r="K62" s="310"/>
    </row>
    <row r="63" spans="2:11" s="38" customFormat="1" ht="12.75">
      <c r="B63" s="320"/>
      <c r="C63" s="321"/>
      <c r="D63" s="3"/>
      <c r="E63" s="322" t="s">
        <v>269</v>
      </c>
      <c r="F63" s="7">
        <f>SUM(F51:F62)</f>
        <v>0</v>
      </c>
      <c r="G63" s="8" t="e">
        <f>F63/Units</f>
        <v>#DIV/0!</v>
      </c>
      <c r="H63" s="7">
        <f t="shared" ref="H63:I63" si="46">SUM(H51:H62)</f>
        <v>0</v>
      </c>
      <c r="I63" s="7">
        <f t="shared" si="46"/>
        <v>0</v>
      </c>
    </row>
    <row r="64" spans="2:11" s="38" customFormat="1" ht="12.75">
      <c r="B64" s="329" t="s">
        <v>270</v>
      </c>
      <c r="C64" s="330"/>
      <c r="D64" s="346"/>
      <c r="E64" s="342"/>
      <c r="F64" s="13" t="s">
        <v>23</v>
      </c>
      <c r="G64" s="13" t="s">
        <v>34</v>
      </c>
      <c r="H64" s="13" t="s">
        <v>208</v>
      </c>
      <c r="I64" s="13" t="s">
        <v>209</v>
      </c>
      <c r="K64" s="13" t="s">
        <v>133</v>
      </c>
    </row>
    <row r="65" spans="2:11" s="38" customFormat="1" ht="12.75">
      <c r="B65" s="366" t="s">
        <v>271</v>
      </c>
      <c r="C65" s="366"/>
      <c r="D65" s="366"/>
      <c r="E65" s="367"/>
      <c r="F65" s="308"/>
      <c r="G65" s="6" t="e">
        <f t="shared" ref="G65" si="47">F65/Units</f>
        <v>#DIV/0!</v>
      </c>
      <c r="H65" s="341"/>
      <c r="I65" s="309">
        <f t="shared" ref="I65" si="48">F65</f>
        <v>0</v>
      </c>
      <c r="K65" s="310"/>
    </row>
    <row r="66" spans="2:11" s="38" customFormat="1" ht="12.75">
      <c r="B66" s="342" t="s">
        <v>272</v>
      </c>
      <c r="C66" s="330"/>
      <c r="D66" s="330"/>
      <c r="E66" s="330"/>
      <c r="F66" s="308"/>
      <c r="G66" s="6" t="e">
        <f t="shared" ref="G66:G72" si="49">F66/Units</f>
        <v>#DIV/0!</v>
      </c>
      <c r="H66" s="341"/>
      <c r="I66" s="309">
        <f t="shared" ref="I66:I71" si="50">F66</f>
        <v>0</v>
      </c>
      <c r="K66" s="310"/>
    </row>
    <row r="67" spans="2:11" s="38" customFormat="1" ht="12.75">
      <c r="B67" s="320" t="s">
        <v>273</v>
      </c>
      <c r="C67" s="330"/>
      <c r="D67" s="321"/>
      <c r="E67" s="321"/>
      <c r="F67" s="308"/>
      <c r="G67" s="6" t="e">
        <f>F67/Units</f>
        <v>#DIV/0!</v>
      </c>
      <c r="H67" s="341"/>
      <c r="I67" s="309">
        <f>F67</f>
        <v>0</v>
      </c>
      <c r="K67" s="310"/>
    </row>
    <row r="68" spans="2:11" s="38" customFormat="1" ht="12.75">
      <c r="B68" s="320" t="s">
        <v>274</v>
      </c>
      <c r="C68" s="330"/>
      <c r="D68" s="330"/>
      <c r="E68" s="330"/>
      <c r="F68" s="308"/>
      <c r="G68" s="6" t="e">
        <f>F68/Units</f>
        <v>#DIV/0!</v>
      </c>
      <c r="H68" s="341"/>
      <c r="I68" s="309">
        <f>F68</f>
        <v>0</v>
      </c>
      <c r="K68" s="310"/>
    </row>
    <row r="69" spans="2:11" s="38" customFormat="1" ht="12.75">
      <c r="B69" s="342" t="s">
        <v>275</v>
      </c>
      <c r="C69" s="330"/>
      <c r="D69" s="330"/>
      <c r="E69" s="330"/>
      <c r="F69" s="308"/>
      <c r="G69" s="6" t="e">
        <f t="shared" si="49"/>
        <v>#DIV/0!</v>
      </c>
      <c r="H69" s="341"/>
      <c r="I69" s="309">
        <f t="shared" si="50"/>
        <v>0</v>
      </c>
      <c r="K69" s="310"/>
    </row>
    <row r="70" spans="2:11" s="38" customFormat="1" ht="12.75">
      <c r="B70" s="320" t="s">
        <v>276</v>
      </c>
      <c r="C70" s="330"/>
      <c r="D70" s="321"/>
      <c r="E70" s="342"/>
      <c r="F70" s="308"/>
      <c r="G70" s="6" t="e">
        <f t="shared" si="49"/>
        <v>#DIV/0!</v>
      </c>
      <c r="H70" s="341"/>
      <c r="I70" s="309">
        <f t="shared" si="50"/>
        <v>0</v>
      </c>
      <c r="K70" s="310"/>
    </row>
    <row r="71" spans="2:11" s="38" customFormat="1" ht="12.75">
      <c r="B71" s="311" t="s">
        <v>147</v>
      </c>
      <c r="C71" s="311"/>
      <c r="D71" s="311"/>
      <c r="E71" s="343"/>
      <c r="F71" s="308"/>
      <c r="G71" s="6" t="e">
        <f t="shared" si="49"/>
        <v>#DIV/0!</v>
      </c>
      <c r="H71" s="365"/>
      <c r="I71" s="309">
        <f t="shared" si="50"/>
        <v>0</v>
      </c>
      <c r="K71" s="310"/>
    </row>
    <row r="72" spans="2:11" s="38" customFormat="1" ht="12.75">
      <c r="B72" s="320"/>
      <c r="C72" s="321"/>
      <c r="D72" s="3"/>
      <c r="E72" s="322" t="s">
        <v>277</v>
      </c>
      <c r="F72" s="7">
        <f>SUM(F65:F71)</f>
        <v>0</v>
      </c>
      <c r="G72" s="8" t="e">
        <f t="shared" si="49"/>
        <v>#DIV/0!</v>
      </c>
      <c r="H72" s="7">
        <f>SUM(H65:H71)</f>
        <v>0</v>
      </c>
      <c r="I72" s="7">
        <f>SUM(I65:I71)</f>
        <v>0</v>
      </c>
    </row>
    <row r="73" spans="2:11" s="38" customFormat="1" ht="12.75">
      <c r="B73" s="362" t="s">
        <v>278</v>
      </c>
      <c r="C73" s="363"/>
      <c r="D73" s="364"/>
      <c r="E73" s="343"/>
      <c r="F73" s="13" t="s">
        <v>23</v>
      </c>
      <c r="G73" s="13" t="s">
        <v>34</v>
      </c>
      <c r="H73" s="13" t="s">
        <v>208</v>
      </c>
      <c r="I73" s="13" t="s">
        <v>209</v>
      </c>
      <c r="K73" s="13" t="s">
        <v>133</v>
      </c>
    </row>
    <row r="74" spans="2:11" s="38" customFormat="1" ht="12.75">
      <c r="B74" s="356" t="s">
        <v>279</v>
      </c>
      <c r="C74" s="357"/>
      <c r="D74" s="357"/>
      <c r="E74" s="358"/>
      <c r="F74" s="308"/>
      <c r="G74" s="6" t="e">
        <f t="shared" ref="G74:G83" si="51">F74/Units</f>
        <v>#DIV/0!</v>
      </c>
      <c r="H74" s="309">
        <f>F74</f>
        <v>0</v>
      </c>
      <c r="I74" s="309">
        <f>F74</f>
        <v>0</v>
      </c>
      <c r="K74" s="310"/>
    </row>
    <row r="75" spans="2:11" s="38" customFormat="1" ht="12.75">
      <c r="B75" s="320" t="s">
        <v>280</v>
      </c>
      <c r="C75" s="359"/>
      <c r="D75" s="346"/>
      <c r="E75" s="353"/>
      <c r="F75" s="308"/>
      <c r="G75" s="6" t="e">
        <f t="shared" si="51"/>
        <v>#DIV/0!</v>
      </c>
      <c r="H75" s="309">
        <f>F75</f>
        <v>0</v>
      </c>
      <c r="I75" s="309">
        <f>F75</f>
        <v>0</v>
      </c>
      <c r="K75" s="310"/>
    </row>
    <row r="76" spans="2:11" s="38" customFormat="1" ht="12.75">
      <c r="B76" s="320" t="s">
        <v>281</v>
      </c>
      <c r="C76" s="321"/>
      <c r="D76" s="346"/>
      <c r="E76" s="342"/>
      <c r="F76" s="308"/>
      <c r="G76" s="6" t="e">
        <f t="shared" si="51"/>
        <v>#DIV/0!</v>
      </c>
      <c r="H76" s="309">
        <f t="shared" ref="H76:H86" si="52">F76</f>
        <v>0</v>
      </c>
      <c r="I76" s="309">
        <f t="shared" ref="I76:I86" si="53">F76</f>
        <v>0</v>
      </c>
      <c r="K76" s="310"/>
    </row>
    <row r="77" spans="2:11" s="38" customFormat="1" ht="12.75">
      <c r="B77" s="320" t="s">
        <v>282</v>
      </c>
      <c r="C77" s="321"/>
      <c r="D77" s="346"/>
      <c r="E77" s="342"/>
      <c r="F77" s="308"/>
      <c r="G77" s="6" t="e">
        <f t="shared" si="51"/>
        <v>#DIV/0!</v>
      </c>
      <c r="H77" s="309"/>
      <c r="I77" s="309"/>
      <c r="K77" s="310"/>
    </row>
    <row r="78" spans="2:11" s="38" customFormat="1" ht="12.75">
      <c r="B78" s="320" t="s">
        <v>283</v>
      </c>
      <c r="C78" s="330"/>
      <c r="D78" s="321"/>
      <c r="E78" s="342"/>
      <c r="F78" s="308"/>
      <c r="G78" s="6" t="e">
        <f t="shared" si="51"/>
        <v>#DIV/0!</v>
      </c>
      <c r="H78" s="341"/>
      <c r="I78" s="309">
        <f t="shared" ref="I78:I83" si="54">F78</f>
        <v>0</v>
      </c>
      <c r="K78" s="310"/>
    </row>
    <row r="79" spans="2:11" s="38" customFormat="1" ht="12.75">
      <c r="B79" s="320" t="s">
        <v>284</v>
      </c>
      <c r="C79" s="330"/>
      <c r="D79" s="346"/>
      <c r="E79" s="342"/>
      <c r="F79" s="308"/>
      <c r="G79" s="6" t="e">
        <f t="shared" si="51"/>
        <v>#DIV/0!</v>
      </c>
      <c r="H79" s="341"/>
      <c r="I79" s="309">
        <f t="shared" si="54"/>
        <v>0</v>
      </c>
      <c r="K79" s="310"/>
    </row>
    <row r="80" spans="2:11" s="38" customFormat="1" ht="12.75">
      <c r="B80" s="320" t="s">
        <v>285</v>
      </c>
      <c r="C80" s="330"/>
      <c r="D80" s="321"/>
      <c r="E80" s="342"/>
      <c r="F80" s="308"/>
      <c r="G80" s="6" t="e">
        <f t="shared" si="51"/>
        <v>#DIV/0!</v>
      </c>
      <c r="H80" s="341"/>
      <c r="I80" s="309">
        <f t="shared" si="54"/>
        <v>0</v>
      </c>
      <c r="K80" s="310"/>
    </row>
    <row r="81" spans="2:11" s="355" customFormat="1" ht="12.75">
      <c r="B81" s="342" t="s">
        <v>286</v>
      </c>
      <c r="C81" s="360"/>
      <c r="D81" s="4"/>
      <c r="E81" s="361"/>
      <c r="F81" s="308"/>
      <c r="G81" s="6" t="e">
        <f t="shared" si="51"/>
        <v>#DIV/0!</v>
      </c>
      <c r="H81" s="309">
        <f>F81</f>
        <v>0</v>
      </c>
      <c r="I81" s="309">
        <f t="shared" si="54"/>
        <v>0</v>
      </c>
      <c r="K81" s="310"/>
    </row>
    <row r="82" spans="2:11" s="38" customFormat="1" ht="12.75">
      <c r="B82" s="320" t="s">
        <v>287</v>
      </c>
      <c r="C82" s="321"/>
      <c r="D82" s="321"/>
      <c r="E82" s="321"/>
      <c r="F82" s="308"/>
      <c r="G82" s="6" t="e">
        <f t="shared" si="51"/>
        <v>#DIV/0!</v>
      </c>
      <c r="H82" s="309">
        <f>F82</f>
        <v>0</v>
      </c>
      <c r="I82" s="309">
        <f t="shared" si="54"/>
        <v>0</v>
      </c>
      <c r="K82" s="310"/>
    </row>
    <row r="83" spans="2:11" s="38" customFormat="1" ht="12.75">
      <c r="B83" s="320" t="s">
        <v>288</v>
      </c>
      <c r="C83" s="321"/>
      <c r="D83" s="321"/>
      <c r="E83" s="321"/>
      <c r="F83" s="308"/>
      <c r="G83" s="6" t="e">
        <f t="shared" si="51"/>
        <v>#DIV/0!</v>
      </c>
      <c r="H83" s="309">
        <f>F83</f>
        <v>0</v>
      </c>
      <c r="I83" s="309">
        <f t="shared" si="54"/>
        <v>0</v>
      </c>
      <c r="K83" s="310"/>
    </row>
    <row r="84" spans="2:11" s="38" customFormat="1" ht="12.75">
      <c r="B84" s="342" t="s">
        <v>289</v>
      </c>
      <c r="C84" s="321"/>
      <c r="D84" s="321"/>
      <c r="E84" s="321"/>
      <c r="F84" s="308"/>
      <c r="G84" s="6" t="e">
        <f t="shared" ref="G84:G86" si="55">F84/Units</f>
        <v>#DIV/0!</v>
      </c>
      <c r="H84" s="309">
        <f t="shared" si="52"/>
        <v>0</v>
      </c>
      <c r="I84" s="309">
        <f t="shared" si="53"/>
        <v>0</v>
      </c>
      <c r="K84" s="310"/>
    </row>
    <row r="85" spans="2:11" s="38" customFormat="1" ht="12.75">
      <c r="B85" s="314" t="s">
        <v>147</v>
      </c>
      <c r="C85" s="314"/>
      <c r="D85" s="314"/>
      <c r="E85" s="353"/>
      <c r="F85" s="308"/>
      <c r="G85" s="6" t="e">
        <f t="shared" si="55"/>
        <v>#DIV/0!</v>
      </c>
      <c r="H85" s="309">
        <f t="shared" si="52"/>
        <v>0</v>
      </c>
      <c r="I85" s="309">
        <f t="shared" si="53"/>
        <v>0</v>
      </c>
      <c r="K85" s="310"/>
    </row>
    <row r="86" spans="2:11" s="38" customFormat="1" ht="12.75">
      <c r="B86" s="311" t="s">
        <v>147</v>
      </c>
      <c r="C86" s="311"/>
      <c r="D86" s="311"/>
      <c r="E86" s="354"/>
      <c r="F86" s="308"/>
      <c r="G86" s="6" t="e">
        <f t="shared" si="55"/>
        <v>#DIV/0!</v>
      </c>
      <c r="H86" s="309">
        <f t="shared" si="52"/>
        <v>0</v>
      </c>
      <c r="I86" s="309">
        <f t="shared" si="53"/>
        <v>0</v>
      </c>
      <c r="K86" s="317"/>
    </row>
    <row r="87" spans="2:11" s="38" customFormat="1" ht="12.75">
      <c r="B87" s="320"/>
      <c r="C87" s="321"/>
      <c r="D87" s="323"/>
      <c r="E87" s="322" t="s">
        <v>290</v>
      </c>
      <c r="F87" s="30">
        <f>SUM(F74:F86)</f>
        <v>0</v>
      </c>
      <c r="G87" s="31" t="e">
        <f>F87/Units</f>
        <v>#DIV/0!</v>
      </c>
      <c r="H87" s="30">
        <f>SUM(H74:H86)</f>
        <v>0</v>
      </c>
      <c r="I87" s="30">
        <f>SUM(I74:I86)</f>
        <v>0</v>
      </c>
    </row>
    <row r="88" spans="2:11" s="38" customFormat="1" ht="12.75">
      <c r="B88" s="331" t="s">
        <v>291</v>
      </c>
      <c r="C88" s="318">
        <v>0.15</v>
      </c>
      <c r="D88" s="349" t="s">
        <v>292</v>
      </c>
      <c r="E88" s="320"/>
      <c r="F88" s="27">
        <f>C88*(H102)-F89</f>
        <v>0</v>
      </c>
      <c r="G88" s="28" t="e">
        <f>F88/Units</f>
        <v>#DIV/0!</v>
      </c>
      <c r="H88" s="28">
        <f t="shared" ref="H88:H89" si="56">F88</f>
        <v>0</v>
      </c>
      <c r="I88" s="28">
        <f>F88</f>
        <v>0</v>
      </c>
      <c r="K88" s="310" t="s">
        <v>293</v>
      </c>
    </row>
    <row r="89" spans="2:11" s="38" customFormat="1" ht="12.75">
      <c r="B89" s="342" t="s">
        <v>294</v>
      </c>
      <c r="C89" s="348"/>
      <c r="D89" s="349"/>
      <c r="E89" s="320"/>
      <c r="F89" s="308"/>
      <c r="G89" s="28" t="e">
        <f>F89/Units</f>
        <v>#DIV/0!</v>
      </c>
      <c r="H89" s="309">
        <f t="shared" si="56"/>
        <v>0</v>
      </c>
      <c r="I89" s="309">
        <f t="shared" ref="I89" si="57">F89</f>
        <v>0</v>
      </c>
      <c r="K89" s="310" t="s">
        <v>295</v>
      </c>
    </row>
    <row r="90" spans="2:11" s="38" customFormat="1" ht="12.75">
      <c r="B90" s="342"/>
      <c r="C90" s="348"/>
      <c r="D90" s="349"/>
      <c r="E90" s="322" t="s">
        <v>296</v>
      </c>
      <c r="F90" s="27">
        <f>SUM(F88:F89)</f>
        <v>0</v>
      </c>
      <c r="G90" s="31" t="e">
        <f>F90/Units</f>
        <v>#DIV/0!</v>
      </c>
      <c r="H90" s="27">
        <f t="shared" ref="H90:I90" si="58">SUM(H88:H89)</f>
        <v>0</v>
      </c>
      <c r="I90" s="27">
        <f t="shared" si="58"/>
        <v>0</v>
      </c>
      <c r="K90" s="156"/>
    </row>
    <row r="91" spans="2:11" s="38" customFormat="1" ht="12.75">
      <c r="B91" s="350" t="s">
        <v>297</v>
      </c>
      <c r="C91" s="351"/>
      <c r="D91" s="352"/>
      <c r="E91" s="343"/>
      <c r="F91" s="13" t="s">
        <v>23</v>
      </c>
      <c r="G91" s="13" t="s">
        <v>34</v>
      </c>
      <c r="H91" s="13" t="s">
        <v>208</v>
      </c>
      <c r="I91" s="13" t="s">
        <v>209</v>
      </c>
      <c r="K91" s="13" t="s">
        <v>133</v>
      </c>
    </row>
    <row r="92" spans="2:11" s="38" customFormat="1" ht="12.75">
      <c r="B92" s="320" t="s">
        <v>298</v>
      </c>
      <c r="C92" s="321"/>
      <c r="D92" s="344" t="s">
        <v>299</v>
      </c>
      <c r="E92" s="345">
        <f>-ROUND('8)Lease-Up'!I5,0)</f>
        <v>0</v>
      </c>
      <c r="F92" s="308"/>
      <c r="G92" s="15" t="e">
        <f>F92/Units</f>
        <v>#DIV/0!</v>
      </c>
      <c r="H92" s="347"/>
      <c r="I92" s="316"/>
      <c r="K92" s="310"/>
    </row>
    <row r="93" spans="2:11" s="38" customFormat="1" ht="12.75">
      <c r="B93" s="320" t="s">
        <v>300</v>
      </c>
      <c r="C93" s="319"/>
      <c r="D93" s="321" t="s">
        <v>301</v>
      </c>
      <c r="E93" s="321"/>
      <c r="F93" s="10">
        <f>C93*('3)Operating Budget'!C63+'3)Operating Budget'!C74)/12</f>
        <v>0</v>
      </c>
      <c r="G93" s="6" t="e">
        <f>F93/Units</f>
        <v>#DIV/0!</v>
      </c>
      <c r="H93" s="341"/>
      <c r="I93" s="341"/>
      <c r="K93" s="310"/>
    </row>
    <row r="94" spans="2:11" s="38" customFormat="1" ht="12.75">
      <c r="B94" s="320" t="s">
        <v>302</v>
      </c>
      <c r="C94" s="330"/>
      <c r="D94" s="344" t="s">
        <v>303</v>
      </c>
      <c r="E94" s="345">
        <f>'4)20 Yr Projection'!C52</f>
        <v>0</v>
      </c>
      <c r="F94" s="312"/>
      <c r="G94" s="6" t="e">
        <f t="shared" ref="G94:G100" si="59">F94/Units</f>
        <v>#DIV/0!</v>
      </c>
      <c r="H94" s="341"/>
      <c r="I94" s="341"/>
      <c r="K94" s="310"/>
    </row>
    <row r="95" spans="2:11" s="38" customFormat="1" ht="12.75">
      <c r="B95" s="320" t="s">
        <v>304</v>
      </c>
      <c r="C95" s="330"/>
      <c r="D95" s="346"/>
      <c r="E95" s="342"/>
      <c r="F95" s="308"/>
      <c r="G95" s="6" t="e">
        <f t="shared" si="59"/>
        <v>#DIV/0!</v>
      </c>
      <c r="H95" s="341"/>
      <c r="I95" s="341"/>
      <c r="K95" s="310"/>
    </row>
    <row r="96" spans="2:11" s="38" customFormat="1" ht="12.75">
      <c r="B96" s="320" t="s">
        <v>305</v>
      </c>
      <c r="C96" s="330"/>
      <c r="D96" s="346"/>
      <c r="E96" s="342"/>
      <c r="F96" s="308"/>
      <c r="G96" s="6" t="e">
        <f t="shared" si="59"/>
        <v>#DIV/0!</v>
      </c>
      <c r="H96" s="341"/>
      <c r="I96" s="341"/>
      <c r="K96" s="310"/>
    </row>
    <row r="97" spans="2:11" s="38" customFormat="1" ht="12.75">
      <c r="B97" s="314" t="s">
        <v>147</v>
      </c>
      <c r="C97" s="314"/>
      <c r="D97" s="314"/>
      <c r="E97" s="342"/>
      <c r="F97" s="308"/>
      <c r="G97" s="6" t="e">
        <f t="shared" ref="G97" si="60">F97/Units</f>
        <v>#DIV/0!</v>
      </c>
      <c r="H97" s="341"/>
      <c r="I97" s="341"/>
      <c r="K97" s="310"/>
    </row>
    <row r="98" spans="2:11" s="38" customFormat="1" ht="12.75">
      <c r="B98" s="314" t="s">
        <v>147</v>
      </c>
      <c r="C98" s="314"/>
      <c r="D98" s="314"/>
      <c r="E98" s="342"/>
      <c r="F98" s="308"/>
      <c r="G98" s="6" t="e">
        <f t="shared" si="59"/>
        <v>#DIV/0!</v>
      </c>
      <c r="H98" s="341"/>
      <c r="I98" s="341"/>
      <c r="K98" s="310"/>
    </row>
    <row r="99" spans="2:11" s="38" customFormat="1" ht="12.75">
      <c r="B99" s="311" t="s">
        <v>147</v>
      </c>
      <c r="C99" s="311"/>
      <c r="D99" s="311"/>
      <c r="E99" s="343"/>
      <c r="F99" s="308"/>
      <c r="G99" s="6" t="e">
        <f t="shared" si="59"/>
        <v>#DIV/0!</v>
      </c>
      <c r="H99" s="341"/>
      <c r="I99" s="341"/>
      <c r="K99" s="310"/>
    </row>
    <row r="100" spans="2:11" s="38" customFormat="1" ht="12.75">
      <c r="B100" s="320"/>
      <c r="C100" s="321"/>
      <c r="D100" s="3"/>
      <c r="E100" s="322" t="s">
        <v>306</v>
      </c>
      <c r="F100" s="7">
        <f>SUM(F92:F99)</f>
        <v>0</v>
      </c>
      <c r="G100" s="8" t="e">
        <f t="shared" si="59"/>
        <v>#DIV/0!</v>
      </c>
      <c r="H100" s="7">
        <f>SUM(H92:H99)</f>
        <v>0</v>
      </c>
      <c r="I100" s="7">
        <f>SUM(I92:I99)</f>
        <v>0</v>
      </c>
    </row>
    <row r="101" spans="2:11" s="38" customFormat="1" ht="12.75">
      <c r="B101" s="320"/>
      <c r="C101" s="321"/>
      <c r="D101" s="3"/>
      <c r="E101" s="323"/>
      <c r="F101" s="7"/>
      <c r="G101" s="324"/>
      <c r="H101" s="9"/>
      <c r="I101" s="9"/>
    </row>
    <row r="102" spans="2:11" s="38" customFormat="1" ht="12.75">
      <c r="B102" s="325"/>
      <c r="C102" s="326"/>
      <c r="D102" s="272"/>
      <c r="E102" s="327" t="s">
        <v>307</v>
      </c>
      <c r="F102" s="328">
        <f>F87+F10+F27+F49+F63+F72+F36+F42+F100+F29</f>
        <v>0</v>
      </c>
      <c r="G102" s="328" t="e">
        <f>F102/Units</f>
        <v>#DIV/0!</v>
      </c>
      <c r="H102" s="328">
        <f>H87+H10+H27+H49+H63+H72+H36+H42+H100</f>
        <v>0</v>
      </c>
      <c r="I102" s="328">
        <f>I87+I10+I27+I49+I63+I72+I100</f>
        <v>0</v>
      </c>
    </row>
    <row r="103" spans="2:11" s="38" customFormat="1" ht="12.75">
      <c r="B103" s="329"/>
      <c r="C103" s="330"/>
      <c r="E103" s="323"/>
      <c r="F103" s="32"/>
      <c r="G103" s="32"/>
      <c r="H103" s="32"/>
      <c r="I103" s="32"/>
      <c r="K103" s="32"/>
    </row>
    <row r="104" spans="2:11" s="38" customFormat="1" ht="12.75">
      <c r="B104" s="331"/>
      <c r="C104" s="332"/>
      <c r="D104" s="332"/>
      <c r="E104" s="333"/>
      <c r="F104" s="7"/>
      <c r="G104" s="8"/>
      <c r="H104" s="320"/>
      <c r="I104" s="320"/>
      <c r="J104" s="320"/>
    </row>
    <row r="105" spans="2:11" s="38" customFormat="1" ht="12.75">
      <c r="B105" s="331"/>
      <c r="C105" s="321"/>
      <c r="D105" s="332"/>
      <c r="E105" s="320"/>
      <c r="F105" s="13" t="s">
        <v>23</v>
      </c>
      <c r="G105" s="13" t="s">
        <v>34</v>
      </c>
      <c r="H105" s="13" t="s">
        <v>208</v>
      </c>
      <c r="I105" s="13" t="s">
        <v>209</v>
      </c>
    </row>
    <row r="106" spans="2:11" s="38" customFormat="1" ht="12.75">
      <c r="B106" s="334"/>
      <c r="C106" s="335"/>
      <c r="D106" s="336"/>
      <c r="E106" s="334" t="s">
        <v>308</v>
      </c>
      <c r="F106" s="11">
        <f>F102+F90</f>
        <v>0</v>
      </c>
      <c r="G106" s="12" t="e">
        <f>F106/Units</f>
        <v>#DIV/0!</v>
      </c>
      <c r="H106" s="337">
        <f>H102+H90</f>
        <v>0</v>
      </c>
      <c r="I106" s="337">
        <f>I102+I90</f>
        <v>0</v>
      </c>
      <c r="J106" s="338"/>
    </row>
    <row r="107" spans="2:11" s="38" customFormat="1" ht="12.75">
      <c r="B107" s="320"/>
      <c r="C107" s="321"/>
      <c r="D107" s="332"/>
      <c r="E107" s="320"/>
      <c r="F107" s="9"/>
      <c r="G107" s="9"/>
      <c r="H107" s="9"/>
      <c r="I107" s="9"/>
    </row>
    <row r="108" spans="2:11" s="38" customFormat="1" ht="12.75">
      <c r="C108" s="156"/>
      <c r="E108" s="338"/>
      <c r="F108" s="9"/>
      <c r="G108" s="9"/>
      <c r="H108" s="9"/>
      <c r="I108" s="9"/>
    </row>
    <row r="109" spans="2:11" s="38" customFormat="1" ht="12.75">
      <c r="C109" s="156"/>
      <c r="E109" s="338"/>
      <c r="F109" s="9"/>
      <c r="G109" s="9"/>
      <c r="H109" s="9"/>
      <c r="I109" s="9"/>
    </row>
    <row r="110" spans="2:11" s="38" customFormat="1" ht="12.75">
      <c r="C110" s="156"/>
      <c r="E110" s="338"/>
      <c r="F110" s="9"/>
      <c r="G110" s="9"/>
      <c r="H110" s="9"/>
      <c r="I110" s="9"/>
    </row>
    <row r="111" spans="2:11" s="38" customFormat="1" ht="12.75">
      <c r="C111" s="156"/>
      <c r="F111" s="9"/>
      <c r="G111" s="9"/>
      <c r="H111" s="9"/>
      <c r="I111" s="9"/>
    </row>
    <row r="112" spans="2:11" s="38" customFormat="1" ht="12.75">
      <c r="C112" s="156"/>
      <c r="F112" s="9"/>
      <c r="G112" s="9"/>
      <c r="H112" s="9"/>
      <c r="I112" s="9"/>
    </row>
    <row r="113" spans="3:9" s="38" customFormat="1" ht="12.75">
      <c r="C113" s="156"/>
      <c r="F113" s="9"/>
      <c r="G113" s="9"/>
      <c r="H113" s="9"/>
      <c r="I113" s="9"/>
    </row>
    <row r="114" spans="3:9" s="38" customFormat="1" ht="12.75">
      <c r="C114" s="156"/>
      <c r="F114" s="9"/>
      <c r="G114" s="9"/>
      <c r="H114" s="9"/>
      <c r="I114" s="9"/>
    </row>
    <row r="115" spans="3:9" s="38" customFormat="1" ht="12.75">
      <c r="C115" s="156"/>
      <c r="F115" s="9"/>
      <c r="G115" s="9"/>
      <c r="H115" s="9"/>
      <c r="I115" s="9"/>
    </row>
    <row r="116" spans="3:9" s="38" customFormat="1" ht="12.75">
      <c r="C116" s="156"/>
      <c r="F116" s="9"/>
      <c r="G116" s="9"/>
      <c r="H116" s="9"/>
      <c r="I116" s="9"/>
    </row>
    <row r="117" spans="3:9" s="38" customFormat="1" ht="12.75">
      <c r="C117" s="156"/>
      <c r="F117" s="9"/>
      <c r="G117" s="9"/>
      <c r="H117" s="9"/>
      <c r="I117" s="9"/>
    </row>
    <row r="118" spans="3:9" s="38" customFormat="1" ht="12.75">
      <c r="C118" s="156"/>
      <c r="F118" s="9"/>
      <c r="G118" s="9"/>
      <c r="H118" s="9"/>
      <c r="I118" s="9"/>
    </row>
  </sheetData>
  <sheetProtection algorithmName="SHA-512" hashValue="TLZ30N+WI7JRbuhLbvqk9giJIAvVheCulP3QnRpBT6qUMzw6Kgqj79WtX3gALp+A1m2urp0Fz4RB8TA9wzxAWg==" saltValue="uXBYUGaGrKGypz9FuNmgYg==" spinCount="100000" sheet="1" objects="1" scenarios="1" selectLockedCells="1"/>
  <mergeCells count="20">
    <mergeCell ref="B48:D48"/>
    <mergeCell ref="B62:D62"/>
    <mergeCell ref="B24:C24"/>
    <mergeCell ref="B61:D61"/>
    <mergeCell ref="B1:K1"/>
    <mergeCell ref="B9:D9"/>
    <mergeCell ref="B25:C25"/>
    <mergeCell ref="B26:C26"/>
    <mergeCell ref="B99:D99"/>
    <mergeCell ref="B97:D97"/>
    <mergeCell ref="B98:D98"/>
    <mergeCell ref="B35:D35"/>
    <mergeCell ref="B85:D85"/>
    <mergeCell ref="B71:D71"/>
    <mergeCell ref="B46:D46"/>
    <mergeCell ref="B47:D47"/>
    <mergeCell ref="B59:D59"/>
    <mergeCell ref="B60:D60"/>
    <mergeCell ref="B65:D65"/>
    <mergeCell ref="B86:D86"/>
  </mergeCells>
  <phoneticPr fontId="0" type="noConversion"/>
  <printOptions horizontalCentered="1"/>
  <pageMargins left="0.5" right="0.5" top="0.5" bottom="0.5" header="0.5" footer="0.5"/>
  <pageSetup scale="76" fitToHeight="0" orientation="landscape" r:id="rId1"/>
  <headerFooter alignWithMargins="0"/>
  <rowBreaks count="1" manualBreakCount="1">
    <brk id="49" min="1" max="10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EE70264D-D440-4266-B19B-2E82F6E8A3AE}">
            <x14:iconSet iconSet="3Symbols" custom="1">
              <x14:cfvo type="percent">
                <xm:f>0</xm:f>
              </x14:cfvo>
              <x14:cfvo type="num">
                <xm:f>0.1</xm:f>
              </x14:cfvo>
              <x14:cfvo type="num" gte="0">
                <xm:f>0.2</xm:f>
              </x14:cfvo>
              <x14:cfIcon iconSet="NoIcons" iconId="0"/>
              <x14:cfIcon iconSet="3Symbols" iconId="1"/>
              <x14:cfIcon iconSet="3Symbols" iconId="0"/>
            </x14:iconSet>
          </x14:cfRule>
          <xm:sqref>C30</xm:sqref>
        </x14:conditionalFormatting>
        <x14:conditionalFormatting xmlns:xm="http://schemas.microsoft.com/office/excel/2006/main">
          <x14:cfRule type="iconSet" priority="3" id="{05FE952C-F7B5-4E54-A697-D47BAFDFB304}">
            <x14:iconSet iconSet="3Symbols" custom="1">
              <x14:cfvo type="percent">
                <xm:f>0</xm:f>
              </x14:cfvo>
              <x14:cfvo type="percent" gte="0">
                <xm:f>0</xm:f>
              </x14:cfvo>
              <x14:cfvo type="num" gte="0">
                <xm:f>0.08</xm:f>
              </x14:cfvo>
              <x14:cfIcon iconSet="NoIcons" iconId="0"/>
              <x14:cfIcon iconSet="NoIcons" iconId="0"/>
              <x14:cfIcon iconSet="3Symbols" iconId="1"/>
            </x14:iconSet>
          </x14:cfRule>
          <xm:sqref>C36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9"/>
  <sheetViews>
    <sheetView showGridLines="0" zoomScaleNormal="100" workbookViewId="0">
      <selection activeCell="B6" sqref="B6"/>
    </sheetView>
  </sheetViews>
  <sheetFormatPr defaultColWidth="9.28515625" defaultRowHeight="12.75"/>
  <cols>
    <col min="1" max="1" width="29.85546875" style="38" customWidth="1"/>
    <col min="2" max="2" width="11.42578125" style="38" customWidth="1"/>
    <col min="3" max="4" width="9.28515625" style="38"/>
    <col min="5" max="5" width="15.85546875" style="38" customWidth="1"/>
    <col min="6" max="16384" width="9.28515625" style="38"/>
  </cols>
  <sheetData>
    <row r="1" spans="1:5" ht="15.75">
      <c r="A1" s="108" t="str">
        <f>"TAX CREDIT EQUITY: "&amp;Project&amp;" ("&amp;Developer&amp;")"</f>
        <v>TAX CREDIT EQUITY:  ()</v>
      </c>
      <c r="B1" s="108"/>
      <c r="C1" s="108"/>
      <c r="D1" s="108"/>
      <c r="E1" s="108"/>
    </row>
    <row r="2" spans="1:5">
      <c r="A2" s="136"/>
    </row>
    <row r="3" spans="1:5">
      <c r="A3" s="213" t="s">
        <v>309</v>
      </c>
      <c r="B3" s="213">
        <f>Units</f>
        <v>0</v>
      </c>
    </row>
    <row r="4" spans="1:5">
      <c r="A4" s="38" t="s">
        <v>310</v>
      </c>
      <c r="B4" s="38">
        <f>Units-MktUnits</f>
        <v>0</v>
      </c>
    </row>
    <row r="5" spans="1:5">
      <c r="A5" s="38" t="s">
        <v>311</v>
      </c>
      <c r="B5" s="399" t="e">
        <f>B4/B3</f>
        <v>#DIV/0!</v>
      </c>
    </row>
    <row r="6" spans="1:5">
      <c r="A6" s="283" t="s">
        <v>312</v>
      </c>
      <c r="B6" s="391" t="e">
        <f>B5</f>
        <v>#DIV/0!</v>
      </c>
      <c r="C6" s="38" t="e">
        <f>IF(B6=B5,"","Confirm applicable fraction override")</f>
        <v>#DIV/0!</v>
      </c>
      <c r="D6" s="156" t="s">
        <v>417</v>
      </c>
    </row>
    <row r="8" spans="1:5">
      <c r="A8" s="213" t="s">
        <v>313</v>
      </c>
      <c r="B8" s="282">
        <f>'5)Dev Budget'!H5</f>
        <v>0</v>
      </c>
    </row>
    <row r="9" spans="1:5">
      <c r="A9" s="38" t="s">
        <v>314</v>
      </c>
      <c r="B9" s="281">
        <f>'5)Dev Budget'!H106-B8</f>
        <v>0</v>
      </c>
    </row>
    <row r="10" spans="1:5">
      <c r="B10" s="281"/>
    </row>
    <row r="11" spans="1:5">
      <c r="A11" s="38" t="s">
        <v>315</v>
      </c>
      <c r="B11" s="392">
        <v>1</v>
      </c>
    </row>
    <row r="13" spans="1:5">
      <c r="A13" s="38" t="s">
        <v>316</v>
      </c>
      <c r="B13" s="398">
        <v>0.04</v>
      </c>
    </row>
    <row r="14" spans="1:5">
      <c r="A14" s="38" t="s">
        <v>317</v>
      </c>
      <c r="B14" s="393">
        <v>0.09</v>
      </c>
    </row>
    <row r="16" spans="1:5">
      <c r="A16" s="38" t="s">
        <v>318</v>
      </c>
      <c r="B16" s="281" t="e">
        <f>B6*B8*B13</f>
        <v>#DIV/0!</v>
      </c>
    </row>
    <row r="17" spans="1:5">
      <c r="A17" s="38" t="s">
        <v>319</v>
      </c>
      <c r="B17" s="281" t="e">
        <f>B6*B11*B9*B14</f>
        <v>#DIV/0!</v>
      </c>
    </row>
    <row r="18" spans="1:5">
      <c r="A18" s="38" t="s">
        <v>320</v>
      </c>
      <c r="B18" s="281" t="e">
        <f>B16+B17</f>
        <v>#DIV/0!</v>
      </c>
    </row>
    <row r="19" spans="1:5">
      <c r="A19" s="283" t="s">
        <v>321</v>
      </c>
      <c r="B19" s="24" t="e">
        <f>B18</f>
        <v>#DIV/0!</v>
      </c>
      <c r="C19" s="397" t="e">
        <f>IF(B19&lt;B18,"Explain variance btw Max Credit &amp; Award in notes below","")</f>
        <v>#DIV/0!</v>
      </c>
    </row>
    <row r="20" spans="1:5">
      <c r="B20" s="279"/>
    </row>
    <row r="21" spans="1:5">
      <c r="A21" s="213" t="s">
        <v>322</v>
      </c>
      <c r="B21" s="33"/>
    </row>
    <row r="22" spans="1:5">
      <c r="A22" s="276" t="s">
        <v>323</v>
      </c>
      <c r="B22" s="391">
        <v>0.99990000000000001</v>
      </c>
    </row>
    <row r="24" spans="1:5">
      <c r="A24" s="213" t="s">
        <v>324</v>
      </c>
      <c r="B24" s="282" t="e">
        <f>B18*10*B21</f>
        <v>#DIV/0!</v>
      </c>
      <c r="C24" s="395"/>
      <c r="D24" s="396"/>
    </row>
    <row r="25" spans="1:5">
      <c r="A25" s="283" t="s">
        <v>325</v>
      </c>
      <c r="B25" s="24" t="e">
        <f>B24</f>
        <v>#DIV/0!</v>
      </c>
      <c r="C25" s="14" t="e">
        <f>Equity/B24-1</f>
        <v>#DIV/0!</v>
      </c>
      <c r="D25" s="156" t="s">
        <v>326</v>
      </c>
    </row>
    <row r="27" spans="1:5">
      <c r="A27" s="136" t="s">
        <v>59</v>
      </c>
    </row>
    <row r="28" spans="1:5">
      <c r="A28" s="394" t="s">
        <v>327</v>
      </c>
      <c r="B28" s="394"/>
      <c r="C28" s="394"/>
      <c r="D28" s="394"/>
      <c r="E28" s="394"/>
    </row>
    <row r="29" spans="1:5">
      <c r="A29" s="394"/>
      <c r="B29" s="394"/>
      <c r="C29" s="394"/>
      <c r="D29" s="394"/>
      <c r="E29" s="394"/>
    </row>
    <row r="30" spans="1:5">
      <c r="A30" s="119"/>
      <c r="B30" s="119"/>
      <c r="C30" s="119"/>
      <c r="D30" s="119"/>
      <c r="E30" s="119"/>
    </row>
    <row r="31" spans="1:5">
      <c r="A31" s="119"/>
      <c r="B31" s="119"/>
      <c r="C31" s="119"/>
      <c r="D31" s="119"/>
      <c r="E31" s="119"/>
    </row>
    <row r="32" spans="1:5">
      <c r="A32" s="119"/>
      <c r="B32" s="119"/>
      <c r="C32" s="119"/>
      <c r="D32" s="119"/>
      <c r="E32" s="119"/>
    </row>
    <row r="33" spans="1:5">
      <c r="A33" s="119"/>
      <c r="B33" s="119"/>
      <c r="C33" s="119"/>
      <c r="D33" s="119"/>
      <c r="E33" s="119"/>
    </row>
    <row r="34" spans="1:5">
      <c r="A34" s="119"/>
      <c r="B34" s="119"/>
      <c r="C34" s="119"/>
      <c r="D34" s="119"/>
      <c r="E34" s="119"/>
    </row>
    <row r="35" spans="1:5">
      <c r="A35" s="119"/>
      <c r="B35" s="119"/>
      <c r="C35" s="119"/>
      <c r="D35" s="119"/>
      <c r="E35" s="119"/>
    </row>
    <row r="36" spans="1:5">
      <c r="A36" s="119"/>
      <c r="B36" s="119"/>
      <c r="C36" s="119"/>
      <c r="D36" s="119"/>
      <c r="E36" s="119"/>
    </row>
    <row r="37" spans="1:5">
      <c r="A37" s="119"/>
      <c r="B37" s="119"/>
      <c r="C37" s="119"/>
      <c r="D37" s="119"/>
      <c r="E37" s="119"/>
    </row>
    <row r="38" spans="1:5">
      <c r="A38" s="119"/>
      <c r="B38" s="119"/>
      <c r="C38" s="119"/>
      <c r="D38" s="119"/>
      <c r="E38" s="119"/>
    </row>
    <row r="39" spans="1:5">
      <c r="A39" s="119"/>
      <c r="B39" s="119"/>
      <c r="C39" s="119"/>
      <c r="D39" s="119"/>
      <c r="E39" s="119"/>
    </row>
    <row r="40" spans="1:5">
      <c r="A40" s="119"/>
      <c r="B40" s="119"/>
      <c r="C40" s="119"/>
      <c r="D40" s="119"/>
      <c r="E40" s="119"/>
    </row>
    <row r="41" spans="1:5">
      <c r="A41" s="119"/>
      <c r="B41" s="119"/>
      <c r="C41" s="119"/>
      <c r="D41" s="119"/>
      <c r="E41" s="119"/>
    </row>
    <row r="42" spans="1:5">
      <c r="A42" s="119"/>
      <c r="B42" s="119"/>
      <c r="C42" s="119"/>
      <c r="D42" s="119"/>
      <c r="E42" s="119"/>
    </row>
    <row r="43" spans="1:5">
      <c r="A43" s="119"/>
      <c r="B43" s="119"/>
      <c r="C43" s="119"/>
      <c r="D43" s="119"/>
      <c r="E43" s="119"/>
    </row>
    <row r="44" spans="1:5">
      <c r="A44" s="119"/>
      <c r="B44" s="119"/>
      <c r="C44" s="119"/>
      <c r="D44" s="119"/>
      <c r="E44" s="119"/>
    </row>
    <row r="45" spans="1:5">
      <c r="A45" s="119"/>
      <c r="B45" s="119"/>
      <c r="C45" s="119"/>
      <c r="D45" s="119"/>
      <c r="E45" s="119"/>
    </row>
    <row r="46" spans="1:5">
      <c r="A46" s="119"/>
      <c r="B46" s="119"/>
      <c r="C46" s="119"/>
      <c r="D46" s="119"/>
      <c r="E46" s="119"/>
    </row>
    <row r="47" spans="1:5">
      <c r="A47" s="119"/>
      <c r="B47" s="119"/>
      <c r="C47" s="119"/>
      <c r="D47" s="119"/>
      <c r="E47" s="119"/>
    </row>
    <row r="48" spans="1:5">
      <c r="A48" s="119"/>
      <c r="B48" s="119"/>
      <c r="C48" s="119"/>
      <c r="D48" s="119"/>
      <c r="E48" s="119"/>
    </row>
    <row r="49" spans="1:5">
      <c r="A49" s="119"/>
      <c r="B49" s="119"/>
      <c r="C49" s="119"/>
      <c r="D49" s="119"/>
      <c r="E49" s="119"/>
    </row>
  </sheetData>
  <sheetProtection algorithmName="SHA-512" hashValue="104FMfUbhYLbvw0ERgr4d8VZWLJuOyk5M4Qn4Dt4bx9aE6g+MmZ+ADHEJG/KzYTTUkfrSmOAN1ulPG5joKxjIw==" saltValue="0QMBQ3dEpvMt1Pvb86maUg==" spinCount="100000" sheet="1" objects="1" scenarios="1" selectLockedCells="1"/>
  <mergeCells count="22">
    <mergeCell ref="A28:E29"/>
    <mergeCell ref="A30:E30"/>
    <mergeCell ref="A31:E31"/>
    <mergeCell ref="A32:E32"/>
    <mergeCell ref="A1:E1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7:E47"/>
    <mergeCell ref="A48:E48"/>
    <mergeCell ref="A49:E49"/>
    <mergeCell ref="A42:E42"/>
    <mergeCell ref="A43:E43"/>
    <mergeCell ref="A44:E44"/>
    <mergeCell ref="A45:E45"/>
    <mergeCell ref="A46:E46"/>
  </mergeCells>
  <phoneticPr fontId="0" type="noConversion"/>
  <dataValidations count="2">
    <dataValidation type="list" allowBlank="1" showInputMessage="1" showErrorMessage="1" sqref="B11" xr:uid="{00000000-0002-0000-0700-000000000000}">
      <formula1>"100%,130%"</formula1>
    </dataValidation>
    <dataValidation type="list" allowBlank="1" showInputMessage="1" showErrorMessage="1" sqref="B14" xr:uid="{EC4A81F8-BA81-493D-9B98-342879AF7F98}">
      <formula1>"4%,9%"</formula1>
    </dataValidation>
  </dataValidations>
  <printOptions horizontalCentered="1"/>
  <pageMargins left="0.5" right="0.5" top="0.5" bottom="0.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Z8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7" sqref="E7"/>
    </sheetView>
  </sheetViews>
  <sheetFormatPr defaultColWidth="9.28515625" defaultRowHeight="12.75" outlineLevelCol="1"/>
  <cols>
    <col min="1" max="1" width="33.7109375" style="426" customWidth="1"/>
    <col min="2" max="2" width="11.85546875" style="425" customWidth="1"/>
    <col min="3" max="3" width="13.28515625" style="38" bestFit="1" customWidth="1"/>
    <col min="4" max="4" width="13.5703125" style="38" bestFit="1" customWidth="1"/>
    <col min="5" max="7" width="12.28515625" style="38" bestFit="1" customWidth="1"/>
    <col min="8" max="9" width="12.7109375" style="38" bestFit="1" customWidth="1"/>
    <col min="10" max="10" width="12.28515625" style="38" bestFit="1" customWidth="1"/>
    <col min="11" max="11" width="12.5703125" style="38" bestFit="1" customWidth="1"/>
    <col min="12" max="12" width="13.28515625" style="38" bestFit="1" customWidth="1"/>
    <col min="13" max="13" width="11.7109375" style="38" customWidth="1"/>
    <col min="14" max="14" width="11.7109375" style="38" bestFit="1" customWidth="1"/>
    <col min="15" max="16" width="11.5703125" style="38" customWidth="1"/>
    <col min="17" max="17" width="12.5703125" style="38" customWidth="1"/>
    <col min="18" max="18" width="11.5703125" style="38" bestFit="1" customWidth="1"/>
    <col min="19" max="20" width="11.42578125" style="38" customWidth="1"/>
    <col min="21" max="21" width="12.140625" style="38" customWidth="1"/>
    <col min="22" max="26" width="11.42578125" style="38" hidden="1" customWidth="1" outlineLevel="1"/>
    <col min="27" max="27" width="11.7109375" style="38" hidden="1" customWidth="1" outlineLevel="1"/>
    <col min="28" max="28" width="11.5703125" style="38" hidden="1" customWidth="1" outlineLevel="1" collapsed="1"/>
    <col min="29" max="29" width="11.5703125" style="38" hidden="1" customWidth="1" outlineLevel="1"/>
    <col min="30" max="30" width="12.5703125" style="38" hidden="1" customWidth="1" outlineLevel="1"/>
    <col min="31" max="31" width="11.5703125" style="38" hidden="1" customWidth="1" outlineLevel="1"/>
    <col min="32" max="33" width="11.42578125" style="38" hidden="1" customWidth="1" outlineLevel="1"/>
    <col min="34" max="34" width="12.140625" style="38" hidden="1" customWidth="1" outlineLevel="1" collapsed="1"/>
    <col min="35" max="39" width="11.42578125" style="38" hidden="1" customWidth="1" outlineLevel="1"/>
    <col min="40" max="40" width="12.5703125" style="425" customWidth="1" collapsed="1"/>
    <col min="41" max="41" width="10.5703125" style="38" customWidth="1"/>
    <col min="42" max="42" width="11.5703125" style="38" customWidth="1"/>
    <col min="43" max="16384" width="9.28515625" style="38"/>
  </cols>
  <sheetData>
    <row r="1" spans="1:42" ht="15.75">
      <c r="A1" s="443" t="s">
        <v>328</v>
      </c>
      <c r="B1" s="444"/>
      <c r="C1" s="258" t="str">
        <f>Project&amp;" ("&amp;Developer&amp;")"</f>
        <v xml:space="preserve"> ()</v>
      </c>
      <c r="D1" s="258"/>
      <c r="E1" s="258"/>
      <c r="F1" s="258"/>
      <c r="G1" s="258"/>
      <c r="H1" s="258"/>
      <c r="I1" s="258"/>
      <c r="J1" s="258" t="str">
        <f>Project&amp;" ("&amp;Developer&amp;")"</f>
        <v xml:space="preserve"> ()</v>
      </c>
      <c r="K1" s="258"/>
      <c r="L1" s="258"/>
      <c r="M1" s="258"/>
      <c r="N1" s="258"/>
      <c r="O1" s="258"/>
      <c r="P1" s="258"/>
      <c r="Q1" s="258" t="str">
        <f>Project&amp;" ("&amp;Developer&amp;")"</f>
        <v xml:space="preserve"> ()</v>
      </c>
      <c r="R1" s="258"/>
      <c r="S1" s="258"/>
      <c r="T1" s="258"/>
      <c r="U1" s="258"/>
      <c r="V1" s="258" t="str">
        <f>Project&amp;" ("&amp;Developer&amp;")"</f>
        <v xml:space="preserve"> ()</v>
      </c>
      <c r="W1" s="258"/>
      <c r="X1" s="258"/>
      <c r="Y1" s="258"/>
      <c r="Z1" s="258"/>
      <c r="AA1" s="258"/>
      <c r="AB1" s="258" t="str">
        <f>Project&amp;" ("&amp;Developer&amp;")"</f>
        <v xml:space="preserve"> ()</v>
      </c>
      <c r="AC1" s="258"/>
      <c r="AD1" s="258"/>
      <c r="AE1" s="258"/>
      <c r="AF1" s="258"/>
      <c r="AG1" s="258"/>
      <c r="AH1" s="258"/>
      <c r="AI1" s="258" t="str">
        <f>Project&amp;" ("&amp;Developer&amp;")"</f>
        <v xml:space="preserve"> ()</v>
      </c>
      <c r="AJ1" s="258"/>
      <c r="AK1" s="258"/>
      <c r="AL1" s="258"/>
      <c r="AM1" s="258"/>
      <c r="AN1" s="258"/>
      <c r="AO1" s="258"/>
      <c r="AP1" s="258"/>
    </row>
    <row r="2" spans="1:42">
      <c r="B2" s="9"/>
      <c r="AN2" s="9"/>
    </row>
    <row r="3" spans="1:42" s="136" customFormat="1">
      <c r="A3" s="433"/>
      <c r="B3" s="5"/>
      <c r="C3" s="307" t="s">
        <v>329</v>
      </c>
      <c r="D3" s="307" t="s">
        <v>330</v>
      </c>
      <c r="E3" s="307" t="s">
        <v>331</v>
      </c>
      <c r="F3" s="307" t="s">
        <v>332</v>
      </c>
      <c r="G3" s="307" t="s">
        <v>333</v>
      </c>
      <c r="H3" s="307" t="s">
        <v>334</v>
      </c>
      <c r="I3" s="307" t="s">
        <v>335</v>
      </c>
      <c r="J3" s="307" t="s">
        <v>336</v>
      </c>
      <c r="K3" s="307" t="s">
        <v>337</v>
      </c>
      <c r="L3" s="307" t="s">
        <v>338</v>
      </c>
      <c r="M3" s="307" t="s">
        <v>339</v>
      </c>
      <c r="N3" s="307" t="s">
        <v>340</v>
      </c>
      <c r="O3" s="307" t="s">
        <v>341</v>
      </c>
      <c r="P3" s="307" t="s">
        <v>342</v>
      </c>
      <c r="Q3" s="307" t="s">
        <v>343</v>
      </c>
      <c r="R3" s="307" t="s">
        <v>344</v>
      </c>
      <c r="S3" s="307" t="s">
        <v>345</v>
      </c>
      <c r="T3" s="307" t="s">
        <v>346</v>
      </c>
      <c r="U3" s="307" t="s">
        <v>347</v>
      </c>
      <c r="V3" s="307" t="s">
        <v>348</v>
      </c>
      <c r="W3" s="307" t="s">
        <v>349</v>
      </c>
      <c r="X3" s="307" t="s">
        <v>350</v>
      </c>
      <c r="Y3" s="307" t="s">
        <v>351</v>
      </c>
      <c r="Z3" s="307" t="s">
        <v>352</v>
      </c>
      <c r="AA3" s="307" t="s">
        <v>353</v>
      </c>
      <c r="AB3" s="307" t="s">
        <v>354</v>
      </c>
      <c r="AC3" s="307" t="s">
        <v>355</v>
      </c>
      <c r="AD3" s="307" t="s">
        <v>356</v>
      </c>
      <c r="AE3" s="307" t="s">
        <v>357</v>
      </c>
      <c r="AF3" s="307" t="s">
        <v>358</v>
      </c>
      <c r="AG3" s="307" t="s">
        <v>359</v>
      </c>
      <c r="AH3" s="307" t="s">
        <v>360</v>
      </c>
      <c r="AI3" s="307" t="s">
        <v>361</v>
      </c>
      <c r="AJ3" s="307" t="s">
        <v>362</v>
      </c>
      <c r="AK3" s="307" t="s">
        <v>363</v>
      </c>
      <c r="AL3" s="307" t="s">
        <v>364</v>
      </c>
      <c r="AM3" s="307" t="s">
        <v>365</v>
      </c>
      <c r="AN3" s="5"/>
      <c r="AO3" s="307"/>
      <c r="AP3" s="307"/>
    </row>
    <row r="4" spans="1:42" s="136" customFormat="1">
      <c r="A4" s="433" t="s">
        <v>366</v>
      </c>
      <c r="B4" s="5" t="s">
        <v>367</v>
      </c>
      <c r="C4" s="22">
        <v>36526</v>
      </c>
      <c r="D4" s="442">
        <f>EDATE(C4,1)</f>
        <v>36557</v>
      </c>
      <c r="E4" s="442">
        <f>EDATE(D4,1)</f>
        <v>36586</v>
      </c>
      <c r="F4" s="442">
        <f t="shared" ref="F4:S4" si="0">EDATE(E4,1)</f>
        <v>36617</v>
      </c>
      <c r="G4" s="442">
        <f t="shared" si="0"/>
        <v>36647</v>
      </c>
      <c r="H4" s="442">
        <f t="shared" si="0"/>
        <v>36678</v>
      </c>
      <c r="I4" s="442">
        <f t="shared" si="0"/>
        <v>36708</v>
      </c>
      <c r="J4" s="442">
        <f t="shared" si="0"/>
        <v>36739</v>
      </c>
      <c r="K4" s="442">
        <f t="shared" si="0"/>
        <v>36770</v>
      </c>
      <c r="L4" s="442">
        <f t="shared" si="0"/>
        <v>36800</v>
      </c>
      <c r="M4" s="442">
        <f t="shared" si="0"/>
        <v>36831</v>
      </c>
      <c r="N4" s="442">
        <f t="shared" si="0"/>
        <v>36861</v>
      </c>
      <c r="O4" s="442">
        <f t="shared" si="0"/>
        <v>36892</v>
      </c>
      <c r="P4" s="442">
        <f t="shared" si="0"/>
        <v>36923</v>
      </c>
      <c r="Q4" s="442">
        <f t="shared" si="0"/>
        <v>36951</v>
      </c>
      <c r="R4" s="442">
        <f t="shared" si="0"/>
        <v>36982</v>
      </c>
      <c r="S4" s="442">
        <f t="shared" si="0"/>
        <v>37012</v>
      </c>
      <c r="T4" s="442">
        <f t="shared" ref="T4" si="1">EDATE(S4,1)</f>
        <v>37043</v>
      </c>
      <c r="U4" s="442">
        <f t="shared" ref="U4" si="2">EDATE(T4,1)</f>
        <v>37073</v>
      </c>
      <c r="V4" s="442">
        <f t="shared" ref="V4:AM4" si="3">EDATE(U4,1)</f>
        <v>37104</v>
      </c>
      <c r="W4" s="442">
        <f t="shared" si="3"/>
        <v>37135</v>
      </c>
      <c r="X4" s="442">
        <f t="shared" si="3"/>
        <v>37165</v>
      </c>
      <c r="Y4" s="442">
        <f t="shared" si="3"/>
        <v>37196</v>
      </c>
      <c r="Z4" s="442">
        <f t="shared" si="3"/>
        <v>37226</v>
      </c>
      <c r="AA4" s="442">
        <f t="shared" si="3"/>
        <v>37257</v>
      </c>
      <c r="AB4" s="442">
        <f t="shared" si="3"/>
        <v>37288</v>
      </c>
      <c r="AC4" s="442">
        <f t="shared" si="3"/>
        <v>37316</v>
      </c>
      <c r="AD4" s="442">
        <f t="shared" si="3"/>
        <v>37347</v>
      </c>
      <c r="AE4" s="442">
        <f t="shared" si="3"/>
        <v>37377</v>
      </c>
      <c r="AF4" s="442">
        <f t="shared" si="3"/>
        <v>37408</v>
      </c>
      <c r="AG4" s="442">
        <f t="shared" si="3"/>
        <v>37438</v>
      </c>
      <c r="AH4" s="442">
        <f t="shared" si="3"/>
        <v>37469</v>
      </c>
      <c r="AI4" s="442">
        <f t="shared" si="3"/>
        <v>37500</v>
      </c>
      <c r="AJ4" s="442">
        <f t="shared" si="3"/>
        <v>37530</v>
      </c>
      <c r="AK4" s="442">
        <f t="shared" si="3"/>
        <v>37561</v>
      </c>
      <c r="AL4" s="442">
        <f t="shared" si="3"/>
        <v>37591</v>
      </c>
      <c r="AM4" s="442">
        <f t="shared" si="3"/>
        <v>37622</v>
      </c>
      <c r="AN4" s="5" t="s">
        <v>23</v>
      </c>
      <c r="AO4" s="307" t="s">
        <v>368</v>
      </c>
      <c r="AP4" s="307" t="s">
        <v>369</v>
      </c>
    </row>
    <row r="5" spans="1:42">
      <c r="A5" s="434" t="s">
        <v>370</v>
      </c>
      <c r="B5" s="435">
        <f>'5)Dev Budget'!F87</f>
        <v>0</v>
      </c>
      <c r="C5" s="400"/>
      <c r="D5" s="400"/>
      <c r="E5" s="400"/>
      <c r="F5" s="400"/>
      <c r="G5" s="400"/>
      <c r="H5" s="400"/>
      <c r="I5" s="400"/>
      <c r="J5" s="400"/>
      <c r="K5" s="400"/>
      <c r="L5" s="400"/>
      <c r="M5" s="400"/>
      <c r="N5" s="400"/>
      <c r="O5" s="400"/>
      <c r="P5" s="400"/>
      <c r="Q5" s="400"/>
      <c r="R5" s="400"/>
      <c r="S5" s="400"/>
      <c r="T5" s="400"/>
      <c r="U5" s="400"/>
      <c r="V5" s="400"/>
      <c r="W5" s="400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00"/>
      <c r="AI5" s="400"/>
      <c r="AJ5" s="400"/>
      <c r="AK5" s="400"/>
      <c r="AL5" s="400"/>
      <c r="AM5" s="400"/>
      <c r="AN5" s="409">
        <f t="shared" ref="AN5:AN13" si="4">SUM(C5:Z5)</f>
        <v>0</v>
      </c>
      <c r="AO5" s="38" t="str">
        <f>IF((ABS(AN5-B5)&lt;1),"Balanced",IF(AN5&gt;B5,"Over","Under"))</f>
        <v>Balanced</v>
      </c>
      <c r="AP5" s="281">
        <f t="shared" ref="AP5:AP13" si="5">B5-AN5</f>
        <v>0</v>
      </c>
    </row>
    <row r="6" spans="1:42">
      <c r="A6" s="410" t="s">
        <v>371</v>
      </c>
      <c r="B6" s="411">
        <f>'5)Dev Budget'!F10</f>
        <v>0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  <c r="Q6" s="401"/>
      <c r="R6" s="401"/>
      <c r="S6" s="401"/>
      <c r="T6" s="401"/>
      <c r="U6" s="401"/>
      <c r="V6" s="401"/>
      <c r="W6" s="401"/>
      <c r="X6" s="401"/>
      <c r="Y6" s="401"/>
      <c r="Z6" s="401"/>
      <c r="AA6" s="401"/>
      <c r="AB6" s="401"/>
      <c r="AC6" s="401"/>
      <c r="AD6" s="401"/>
      <c r="AE6" s="401"/>
      <c r="AF6" s="401"/>
      <c r="AG6" s="401"/>
      <c r="AH6" s="401"/>
      <c r="AI6" s="401"/>
      <c r="AJ6" s="401"/>
      <c r="AK6" s="401"/>
      <c r="AL6" s="401"/>
      <c r="AM6" s="401"/>
      <c r="AN6" s="409">
        <f t="shared" si="4"/>
        <v>0</v>
      </c>
      <c r="AO6" s="38" t="str">
        <f t="shared" ref="AO6:AO13" si="6">IF((ABS(AN6-B6)&lt;1),"Balanced",IF(AN6&gt;B6,"Over","Under"))</f>
        <v>Balanced</v>
      </c>
      <c r="AP6" s="281">
        <f t="shared" si="5"/>
        <v>0</v>
      </c>
    </row>
    <row r="7" spans="1:42">
      <c r="A7" s="410" t="s">
        <v>372</v>
      </c>
      <c r="B7" s="411">
        <f>'5)Dev Budget'!F27</f>
        <v>0</v>
      </c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1"/>
      <c r="P7" s="401"/>
      <c r="Q7" s="401"/>
      <c r="R7" s="401"/>
      <c r="S7" s="401"/>
      <c r="T7" s="401"/>
      <c r="U7" s="401"/>
      <c r="V7" s="401"/>
      <c r="W7" s="401"/>
      <c r="X7" s="401"/>
      <c r="Y7" s="401"/>
      <c r="Z7" s="401"/>
      <c r="AA7" s="401"/>
      <c r="AB7" s="401"/>
      <c r="AC7" s="401"/>
      <c r="AD7" s="401"/>
      <c r="AE7" s="401"/>
      <c r="AF7" s="401"/>
      <c r="AG7" s="401"/>
      <c r="AH7" s="401"/>
      <c r="AI7" s="401"/>
      <c r="AJ7" s="401"/>
      <c r="AK7" s="401"/>
      <c r="AL7" s="401"/>
      <c r="AM7" s="401"/>
      <c r="AN7" s="409">
        <f t="shared" si="4"/>
        <v>0</v>
      </c>
      <c r="AO7" s="38" t="str">
        <f t="shared" si="6"/>
        <v>Balanced</v>
      </c>
      <c r="AP7" s="281">
        <f t="shared" si="5"/>
        <v>0</v>
      </c>
    </row>
    <row r="8" spans="1:42">
      <c r="A8" s="410" t="s">
        <v>373</v>
      </c>
      <c r="B8" s="411">
        <f>'5)Dev Budget'!F49</f>
        <v>0</v>
      </c>
      <c r="C8" s="401"/>
      <c r="D8" s="401"/>
      <c r="E8" s="401"/>
      <c r="F8" s="401"/>
      <c r="G8" s="401"/>
      <c r="H8" s="401"/>
      <c r="I8" s="401"/>
      <c r="J8" s="401"/>
      <c r="K8" s="401"/>
      <c r="L8" s="401"/>
      <c r="M8" s="401"/>
      <c r="N8" s="401"/>
      <c r="O8" s="401"/>
      <c r="P8" s="401"/>
      <c r="Q8" s="401"/>
      <c r="R8" s="401"/>
      <c r="S8" s="401"/>
      <c r="T8" s="401"/>
      <c r="U8" s="401"/>
      <c r="V8" s="401"/>
      <c r="W8" s="401"/>
      <c r="X8" s="401"/>
      <c r="Y8" s="401"/>
      <c r="Z8" s="401"/>
      <c r="AA8" s="401"/>
      <c r="AB8" s="401"/>
      <c r="AC8" s="401"/>
      <c r="AD8" s="401"/>
      <c r="AE8" s="401"/>
      <c r="AF8" s="401"/>
      <c r="AG8" s="401"/>
      <c r="AH8" s="401"/>
      <c r="AI8" s="401"/>
      <c r="AJ8" s="401"/>
      <c r="AK8" s="401"/>
      <c r="AL8" s="401"/>
      <c r="AM8" s="401"/>
      <c r="AN8" s="409">
        <f t="shared" si="4"/>
        <v>0</v>
      </c>
      <c r="AO8" s="38" t="str">
        <f t="shared" si="6"/>
        <v>Balanced</v>
      </c>
      <c r="AP8" s="281">
        <f t="shared" si="5"/>
        <v>0</v>
      </c>
    </row>
    <row r="9" spans="1:42">
      <c r="A9" s="441" t="s">
        <v>374</v>
      </c>
      <c r="B9" s="411">
        <f>'5)Dev Budget'!F63-'5)Dev Budget'!F55</f>
        <v>0</v>
      </c>
      <c r="C9" s="401"/>
      <c r="D9" s="401"/>
      <c r="E9" s="401"/>
      <c r="F9" s="401"/>
      <c r="G9" s="401"/>
      <c r="H9" s="401"/>
      <c r="I9" s="401"/>
      <c r="J9" s="401"/>
      <c r="K9" s="401"/>
      <c r="L9" s="401"/>
      <c r="M9" s="401"/>
      <c r="N9" s="401"/>
      <c r="O9" s="401"/>
      <c r="P9" s="401"/>
      <c r="Q9" s="401"/>
      <c r="R9" s="401"/>
      <c r="S9" s="401"/>
      <c r="T9" s="401"/>
      <c r="U9" s="401"/>
      <c r="V9" s="401"/>
      <c r="W9" s="401"/>
      <c r="X9" s="401"/>
      <c r="Y9" s="401"/>
      <c r="Z9" s="401"/>
      <c r="AA9" s="401"/>
      <c r="AB9" s="401"/>
      <c r="AC9" s="401"/>
      <c r="AD9" s="401"/>
      <c r="AE9" s="401"/>
      <c r="AF9" s="401"/>
      <c r="AG9" s="401"/>
      <c r="AH9" s="401"/>
      <c r="AI9" s="401"/>
      <c r="AJ9" s="401"/>
      <c r="AK9" s="401"/>
      <c r="AL9" s="401"/>
      <c r="AM9" s="401"/>
      <c r="AN9" s="409">
        <f t="shared" si="4"/>
        <v>0</v>
      </c>
      <c r="AO9" s="38" t="str">
        <f t="shared" si="6"/>
        <v>Balanced</v>
      </c>
      <c r="AP9" s="281">
        <f t="shared" si="5"/>
        <v>0</v>
      </c>
    </row>
    <row r="10" spans="1:42">
      <c r="A10" s="441" t="s">
        <v>375</v>
      </c>
      <c r="B10" s="402">
        <v>0.08</v>
      </c>
      <c r="C10" s="439"/>
      <c r="D10" s="440">
        <f>C32*$B$10/12</f>
        <v>0</v>
      </c>
      <c r="E10" s="440">
        <f t="shared" ref="E10:AM10" si="7">D32*$B$10/12</f>
        <v>0</v>
      </c>
      <c r="F10" s="440">
        <f t="shared" si="7"/>
        <v>0</v>
      </c>
      <c r="G10" s="440">
        <f t="shared" si="7"/>
        <v>0</v>
      </c>
      <c r="H10" s="440">
        <f t="shared" si="7"/>
        <v>0</v>
      </c>
      <c r="I10" s="440">
        <f t="shared" si="7"/>
        <v>0</v>
      </c>
      <c r="J10" s="440">
        <f t="shared" si="7"/>
        <v>0</v>
      </c>
      <c r="K10" s="440">
        <f t="shared" si="7"/>
        <v>0</v>
      </c>
      <c r="L10" s="440">
        <f t="shared" si="7"/>
        <v>0</v>
      </c>
      <c r="M10" s="440">
        <f t="shared" si="7"/>
        <v>0</v>
      </c>
      <c r="N10" s="440">
        <f t="shared" si="7"/>
        <v>0</v>
      </c>
      <c r="O10" s="440">
        <f t="shared" si="7"/>
        <v>0</v>
      </c>
      <c r="P10" s="440">
        <f t="shared" si="7"/>
        <v>0</v>
      </c>
      <c r="Q10" s="440">
        <f t="shared" si="7"/>
        <v>0</v>
      </c>
      <c r="R10" s="440">
        <f t="shared" si="7"/>
        <v>0</v>
      </c>
      <c r="S10" s="440">
        <f t="shared" si="7"/>
        <v>0</v>
      </c>
      <c r="T10" s="440">
        <f t="shared" si="7"/>
        <v>0</v>
      </c>
      <c r="U10" s="440">
        <f t="shared" si="7"/>
        <v>0</v>
      </c>
      <c r="V10" s="440">
        <f t="shared" si="7"/>
        <v>0</v>
      </c>
      <c r="W10" s="440">
        <f t="shared" si="7"/>
        <v>0</v>
      </c>
      <c r="X10" s="440">
        <f t="shared" si="7"/>
        <v>0</v>
      </c>
      <c r="Y10" s="440">
        <f t="shared" si="7"/>
        <v>0</v>
      </c>
      <c r="Z10" s="440">
        <f t="shared" si="7"/>
        <v>0</v>
      </c>
      <c r="AA10" s="440">
        <f t="shared" si="7"/>
        <v>0</v>
      </c>
      <c r="AB10" s="440">
        <f t="shared" si="7"/>
        <v>0</v>
      </c>
      <c r="AC10" s="440">
        <f t="shared" si="7"/>
        <v>0</v>
      </c>
      <c r="AD10" s="440">
        <f t="shared" si="7"/>
        <v>0</v>
      </c>
      <c r="AE10" s="440">
        <f t="shared" si="7"/>
        <v>0</v>
      </c>
      <c r="AF10" s="440">
        <f t="shared" si="7"/>
        <v>0</v>
      </c>
      <c r="AG10" s="440">
        <f t="shared" si="7"/>
        <v>0</v>
      </c>
      <c r="AH10" s="440">
        <f t="shared" si="7"/>
        <v>0</v>
      </c>
      <c r="AI10" s="440">
        <f t="shared" si="7"/>
        <v>0</v>
      </c>
      <c r="AJ10" s="440">
        <f t="shared" si="7"/>
        <v>0</v>
      </c>
      <c r="AK10" s="440">
        <f t="shared" si="7"/>
        <v>0</v>
      </c>
      <c r="AL10" s="440">
        <f t="shared" si="7"/>
        <v>0</v>
      </c>
      <c r="AM10" s="440">
        <f t="shared" si="7"/>
        <v>0</v>
      </c>
      <c r="AN10" s="409">
        <f t="shared" si="4"/>
        <v>0</v>
      </c>
      <c r="AO10" s="461">
        <f>'5)Dev Budget'!F55</f>
        <v>0</v>
      </c>
      <c r="AP10" s="281">
        <f>'7)Const Cash Flow'!AN10-'5)Dev Budget'!F55</f>
        <v>0</v>
      </c>
    </row>
    <row r="11" spans="1:42">
      <c r="A11" s="410" t="s">
        <v>376</v>
      </c>
      <c r="B11" s="411">
        <f>'5)Dev Budget'!F72</f>
        <v>0</v>
      </c>
      <c r="C11" s="401"/>
      <c r="D11" s="401"/>
      <c r="E11" s="401"/>
      <c r="F11" s="401"/>
      <c r="G11" s="401"/>
      <c r="H11" s="401"/>
      <c r="I11" s="401"/>
      <c r="J11" s="401"/>
      <c r="K11" s="401"/>
      <c r="L11" s="401"/>
      <c r="M11" s="401"/>
      <c r="N11" s="401"/>
      <c r="O11" s="401"/>
      <c r="P11" s="401"/>
      <c r="Q11" s="401"/>
      <c r="R11" s="401"/>
      <c r="S11" s="401"/>
      <c r="T11" s="401"/>
      <c r="U11" s="401"/>
      <c r="V11" s="401"/>
      <c r="W11" s="401"/>
      <c r="X11" s="401"/>
      <c r="Y11" s="401"/>
      <c r="Z11" s="401"/>
      <c r="AA11" s="401"/>
      <c r="AB11" s="401"/>
      <c r="AC11" s="401"/>
      <c r="AD11" s="401"/>
      <c r="AE11" s="401"/>
      <c r="AF11" s="401"/>
      <c r="AG11" s="401"/>
      <c r="AH11" s="401"/>
      <c r="AI11" s="401"/>
      <c r="AJ11" s="401"/>
      <c r="AK11" s="401"/>
      <c r="AL11" s="401"/>
      <c r="AM11" s="401"/>
      <c r="AN11" s="409">
        <f t="shared" si="4"/>
        <v>0</v>
      </c>
      <c r="AO11" s="38" t="str">
        <f t="shared" si="6"/>
        <v>Balanced</v>
      </c>
      <c r="AP11" s="281">
        <f t="shared" si="5"/>
        <v>0</v>
      </c>
    </row>
    <row r="12" spans="1:42">
      <c r="A12" s="410" t="s">
        <v>377</v>
      </c>
      <c r="B12" s="411">
        <f>'5)Dev Budget'!F100</f>
        <v>0</v>
      </c>
      <c r="C12" s="401"/>
      <c r="D12" s="401"/>
      <c r="E12" s="401"/>
      <c r="F12" s="401"/>
      <c r="G12" s="401"/>
      <c r="H12" s="401"/>
      <c r="I12" s="401"/>
      <c r="J12" s="401"/>
      <c r="K12" s="401"/>
      <c r="L12" s="401"/>
      <c r="M12" s="401"/>
      <c r="N12" s="401"/>
      <c r="O12" s="401"/>
      <c r="P12" s="401"/>
      <c r="Q12" s="401"/>
      <c r="R12" s="401"/>
      <c r="S12" s="401"/>
      <c r="T12" s="401"/>
      <c r="U12" s="401"/>
      <c r="V12" s="401"/>
      <c r="W12" s="401"/>
      <c r="X12" s="401"/>
      <c r="Y12" s="401"/>
      <c r="Z12" s="401"/>
      <c r="AA12" s="401"/>
      <c r="AB12" s="401"/>
      <c r="AC12" s="401"/>
      <c r="AD12" s="401"/>
      <c r="AE12" s="401"/>
      <c r="AF12" s="401"/>
      <c r="AG12" s="401"/>
      <c r="AH12" s="401"/>
      <c r="AI12" s="401"/>
      <c r="AJ12" s="401"/>
      <c r="AK12" s="401"/>
      <c r="AL12" s="401"/>
      <c r="AM12" s="401"/>
      <c r="AN12" s="409">
        <f t="shared" si="4"/>
        <v>0</v>
      </c>
      <c r="AO12" s="38" t="str">
        <f t="shared" si="6"/>
        <v>Balanced</v>
      </c>
      <c r="AP12" s="281">
        <f t="shared" si="5"/>
        <v>0</v>
      </c>
    </row>
    <row r="13" spans="1:42">
      <c r="A13" s="438" t="s">
        <v>378</v>
      </c>
      <c r="B13" s="430">
        <f>'5)Dev Budget'!F88</f>
        <v>0</v>
      </c>
      <c r="C13" s="403"/>
      <c r="D13" s="403"/>
      <c r="E13" s="403"/>
      <c r="F13" s="403"/>
      <c r="G13" s="403"/>
      <c r="H13" s="403"/>
      <c r="I13" s="403"/>
      <c r="J13" s="403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  <c r="W13" s="403"/>
      <c r="X13" s="403"/>
      <c r="Y13" s="403"/>
      <c r="Z13" s="403"/>
      <c r="AA13" s="403"/>
      <c r="AB13" s="403"/>
      <c r="AC13" s="403"/>
      <c r="AD13" s="403"/>
      <c r="AE13" s="403"/>
      <c r="AF13" s="403"/>
      <c r="AG13" s="403"/>
      <c r="AH13" s="403"/>
      <c r="AI13" s="403"/>
      <c r="AJ13" s="403"/>
      <c r="AK13" s="403"/>
      <c r="AL13" s="403"/>
      <c r="AM13" s="403"/>
      <c r="AN13" s="427">
        <f t="shared" si="4"/>
        <v>0</v>
      </c>
      <c r="AO13" s="276" t="str">
        <f t="shared" si="6"/>
        <v>Balanced</v>
      </c>
      <c r="AP13" s="291">
        <f t="shared" si="5"/>
        <v>0</v>
      </c>
    </row>
    <row r="14" spans="1:42">
      <c r="A14" s="406" t="s">
        <v>379</v>
      </c>
      <c r="B14" s="411">
        <f t="shared" ref="B14:Z14" si="8">SUM(B5:B13)</f>
        <v>0.08</v>
      </c>
      <c r="C14" s="419">
        <f t="shared" si="8"/>
        <v>0</v>
      </c>
      <c r="D14" s="419">
        <f t="shared" si="8"/>
        <v>0</v>
      </c>
      <c r="E14" s="419">
        <f t="shared" si="8"/>
        <v>0</v>
      </c>
      <c r="F14" s="419">
        <f t="shared" si="8"/>
        <v>0</v>
      </c>
      <c r="G14" s="419">
        <f t="shared" si="8"/>
        <v>0</v>
      </c>
      <c r="H14" s="419">
        <f t="shared" si="8"/>
        <v>0</v>
      </c>
      <c r="I14" s="419">
        <f t="shared" si="8"/>
        <v>0</v>
      </c>
      <c r="J14" s="419">
        <f t="shared" si="8"/>
        <v>0</v>
      </c>
      <c r="K14" s="419">
        <f t="shared" si="8"/>
        <v>0</v>
      </c>
      <c r="L14" s="419">
        <f t="shared" si="8"/>
        <v>0</v>
      </c>
      <c r="M14" s="419">
        <f t="shared" si="8"/>
        <v>0</v>
      </c>
      <c r="N14" s="419">
        <f t="shared" si="8"/>
        <v>0</v>
      </c>
      <c r="O14" s="419">
        <f t="shared" si="8"/>
        <v>0</v>
      </c>
      <c r="P14" s="419">
        <f t="shared" si="8"/>
        <v>0</v>
      </c>
      <c r="Q14" s="419">
        <f t="shared" si="8"/>
        <v>0</v>
      </c>
      <c r="R14" s="419">
        <f t="shared" si="8"/>
        <v>0</v>
      </c>
      <c r="S14" s="419">
        <f t="shared" si="8"/>
        <v>0</v>
      </c>
      <c r="T14" s="419">
        <f t="shared" si="8"/>
        <v>0</v>
      </c>
      <c r="U14" s="419">
        <f t="shared" si="8"/>
        <v>0</v>
      </c>
      <c r="V14" s="419">
        <f t="shared" si="8"/>
        <v>0</v>
      </c>
      <c r="W14" s="419">
        <f t="shared" si="8"/>
        <v>0</v>
      </c>
      <c r="X14" s="419">
        <f t="shared" si="8"/>
        <v>0</v>
      </c>
      <c r="Y14" s="419">
        <f t="shared" si="8"/>
        <v>0</v>
      </c>
      <c r="Z14" s="419">
        <f t="shared" si="8"/>
        <v>0</v>
      </c>
      <c r="AA14" s="419">
        <f t="shared" ref="AA14:AM14" si="9">SUM(AA5:AA13)</f>
        <v>0</v>
      </c>
      <c r="AB14" s="419">
        <f t="shared" si="9"/>
        <v>0</v>
      </c>
      <c r="AC14" s="419">
        <f t="shared" si="9"/>
        <v>0</v>
      </c>
      <c r="AD14" s="419">
        <f t="shared" si="9"/>
        <v>0</v>
      </c>
      <c r="AE14" s="419">
        <f t="shared" si="9"/>
        <v>0</v>
      </c>
      <c r="AF14" s="419">
        <f t="shared" si="9"/>
        <v>0</v>
      </c>
      <c r="AG14" s="419">
        <f t="shared" si="9"/>
        <v>0</v>
      </c>
      <c r="AH14" s="419">
        <f t="shared" si="9"/>
        <v>0</v>
      </c>
      <c r="AI14" s="419">
        <f t="shared" si="9"/>
        <v>0</v>
      </c>
      <c r="AJ14" s="419">
        <f t="shared" si="9"/>
        <v>0</v>
      </c>
      <c r="AK14" s="419">
        <f t="shared" si="9"/>
        <v>0</v>
      </c>
      <c r="AL14" s="419">
        <f t="shared" si="9"/>
        <v>0</v>
      </c>
      <c r="AM14" s="419">
        <f t="shared" si="9"/>
        <v>0</v>
      </c>
      <c r="AN14" s="409">
        <f>SUM(AN5:AN13)</f>
        <v>0</v>
      </c>
      <c r="AP14" s="281"/>
    </row>
    <row r="15" spans="1:42">
      <c r="B15" s="431" t="s">
        <v>380</v>
      </c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  <c r="N15" s="419"/>
      <c r="O15" s="419"/>
      <c r="P15" s="419"/>
      <c r="Q15" s="419"/>
      <c r="R15" s="419"/>
      <c r="S15" s="419"/>
      <c r="T15" s="419"/>
      <c r="U15" s="419"/>
      <c r="V15" s="419"/>
      <c r="W15" s="419"/>
      <c r="X15" s="419"/>
      <c r="Y15" s="419"/>
      <c r="Z15" s="419"/>
      <c r="AA15" s="419"/>
      <c r="AB15" s="419"/>
      <c r="AC15" s="419"/>
      <c r="AD15" s="419"/>
      <c r="AE15" s="419"/>
      <c r="AF15" s="419"/>
      <c r="AG15" s="419"/>
      <c r="AH15" s="419"/>
      <c r="AI15" s="419"/>
      <c r="AJ15" s="419"/>
      <c r="AK15" s="419"/>
      <c r="AL15" s="419"/>
      <c r="AM15" s="419"/>
      <c r="AN15" s="432" t="s">
        <v>381</v>
      </c>
      <c r="AP15" s="281"/>
    </row>
    <row r="16" spans="1:42">
      <c r="A16" s="433" t="s">
        <v>382</v>
      </c>
      <c r="B16" s="411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  <c r="N16" s="419"/>
      <c r="O16" s="419"/>
      <c r="P16" s="419"/>
      <c r="Q16" s="419"/>
      <c r="R16" s="419"/>
      <c r="S16" s="419"/>
      <c r="T16" s="419"/>
      <c r="U16" s="419"/>
      <c r="V16" s="419"/>
      <c r="W16" s="419"/>
      <c r="X16" s="419"/>
      <c r="Y16" s="419"/>
      <c r="Z16" s="419"/>
      <c r="AA16" s="419"/>
      <c r="AB16" s="419"/>
      <c r="AC16" s="419"/>
      <c r="AD16" s="419"/>
      <c r="AE16" s="419"/>
      <c r="AF16" s="419"/>
      <c r="AG16" s="419"/>
      <c r="AH16" s="419"/>
      <c r="AI16" s="419"/>
      <c r="AJ16" s="419"/>
      <c r="AK16" s="419"/>
      <c r="AL16" s="419"/>
      <c r="AM16" s="419"/>
      <c r="AN16" s="5"/>
      <c r="AO16" s="307"/>
      <c r="AP16" s="307"/>
    </row>
    <row r="17" spans="1:52">
      <c r="A17" s="434" t="s">
        <v>383</v>
      </c>
      <c r="B17" s="435"/>
      <c r="C17" s="436"/>
      <c r="D17" s="437">
        <f>C34</f>
        <v>0</v>
      </c>
      <c r="E17" s="437">
        <f t="shared" ref="E17:Z17" si="10">D34</f>
        <v>0</v>
      </c>
      <c r="F17" s="437">
        <f t="shared" si="10"/>
        <v>0</v>
      </c>
      <c r="G17" s="437">
        <f t="shared" si="10"/>
        <v>0</v>
      </c>
      <c r="H17" s="437">
        <f t="shared" si="10"/>
        <v>0</v>
      </c>
      <c r="I17" s="437">
        <f t="shared" si="10"/>
        <v>0</v>
      </c>
      <c r="J17" s="437">
        <f t="shared" si="10"/>
        <v>0</v>
      </c>
      <c r="K17" s="437">
        <f t="shared" si="10"/>
        <v>0</v>
      </c>
      <c r="L17" s="437">
        <f t="shared" si="10"/>
        <v>0</v>
      </c>
      <c r="M17" s="437">
        <f t="shared" si="10"/>
        <v>0</v>
      </c>
      <c r="N17" s="437">
        <f t="shared" si="10"/>
        <v>0</v>
      </c>
      <c r="O17" s="437">
        <f t="shared" si="10"/>
        <v>0</v>
      </c>
      <c r="P17" s="437">
        <f t="shared" si="10"/>
        <v>0</v>
      </c>
      <c r="Q17" s="437">
        <f t="shared" si="10"/>
        <v>0</v>
      </c>
      <c r="R17" s="437">
        <f t="shared" si="10"/>
        <v>0</v>
      </c>
      <c r="S17" s="437">
        <f t="shared" si="10"/>
        <v>0</v>
      </c>
      <c r="T17" s="437">
        <f t="shared" si="10"/>
        <v>0</v>
      </c>
      <c r="U17" s="437">
        <f t="shared" si="10"/>
        <v>0</v>
      </c>
      <c r="V17" s="437">
        <f t="shared" si="10"/>
        <v>0</v>
      </c>
      <c r="W17" s="437">
        <f t="shared" si="10"/>
        <v>0</v>
      </c>
      <c r="X17" s="437">
        <f t="shared" si="10"/>
        <v>0</v>
      </c>
      <c r="Y17" s="437">
        <f t="shared" si="10"/>
        <v>0</v>
      </c>
      <c r="Z17" s="437">
        <f t="shared" si="10"/>
        <v>0</v>
      </c>
      <c r="AA17" s="437">
        <f t="shared" ref="AA17" si="11">Z34</f>
        <v>0</v>
      </c>
      <c r="AB17" s="437">
        <f t="shared" ref="AB17" si="12">AA34</f>
        <v>0</v>
      </c>
      <c r="AC17" s="437">
        <f t="shared" ref="AC17" si="13">AB34</f>
        <v>0</v>
      </c>
      <c r="AD17" s="437">
        <f t="shared" ref="AD17" si="14">AC34</f>
        <v>0</v>
      </c>
      <c r="AE17" s="437">
        <f t="shared" ref="AE17" si="15">AD34</f>
        <v>0</v>
      </c>
      <c r="AF17" s="437">
        <f t="shared" ref="AF17" si="16">AE34</f>
        <v>0</v>
      </c>
      <c r="AG17" s="437">
        <f t="shared" ref="AG17" si="17">AF34</f>
        <v>0</v>
      </c>
      <c r="AH17" s="437">
        <f t="shared" ref="AH17" si="18">AG34</f>
        <v>0</v>
      </c>
      <c r="AI17" s="437">
        <f t="shared" ref="AI17" si="19">AH34</f>
        <v>0</v>
      </c>
      <c r="AJ17" s="437">
        <f t="shared" ref="AJ17" si="20">AI34</f>
        <v>0</v>
      </c>
      <c r="AK17" s="437">
        <f t="shared" ref="AK17" si="21">AJ34</f>
        <v>0</v>
      </c>
      <c r="AL17" s="437">
        <f t="shared" ref="AL17" si="22">AK34</f>
        <v>0</v>
      </c>
      <c r="AM17" s="437">
        <f t="shared" ref="AM17" si="23">AL34</f>
        <v>0</v>
      </c>
      <c r="AN17" s="5" t="s">
        <v>23</v>
      </c>
      <c r="AO17" s="307" t="s">
        <v>368</v>
      </c>
      <c r="AP17" s="307" t="s">
        <v>369</v>
      </c>
    </row>
    <row r="18" spans="1:52">
      <c r="A18" s="428" t="str">
        <f>'1)Summary &amp; Gap'!A51</f>
        <v>Mortgage</v>
      </c>
      <c r="B18" s="411">
        <f>'1)Summary &amp; Gap'!D51</f>
        <v>0</v>
      </c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4"/>
      <c r="AM18" s="404"/>
      <c r="AN18" s="409">
        <f t="shared" ref="AN18:AN22" si="24">SUM(C18:Z18)</f>
        <v>0</v>
      </c>
      <c r="AO18" s="38" t="str">
        <f t="shared" ref="AO18:AO25" si="25">IF((ABS(AN18-B18)&lt;1),"Balanced",IF(AN18&gt;B18,"Over","Under"))</f>
        <v>Balanced</v>
      </c>
      <c r="AP18" s="281">
        <f t="shared" ref="AP18:AP26" si="26">B18-AN18</f>
        <v>0</v>
      </c>
    </row>
    <row r="19" spans="1:52">
      <c r="A19" s="428" t="str">
        <f>'1)Summary &amp; Gap'!A52</f>
        <v>LIHTC Equity</v>
      </c>
      <c r="B19" s="411" t="e">
        <f>'1)Summary &amp; Gap'!D52</f>
        <v>#DIV/0!</v>
      </c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4"/>
      <c r="AL19" s="404"/>
      <c r="AM19" s="404"/>
      <c r="AN19" s="409">
        <f>SUM(C19:Z19)</f>
        <v>0</v>
      </c>
      <c r="AO19" s="38" t="e">
        <f t="shared" si="25"/>
        <v>#DIV/0!</v>
      </c>
      <c r="AP19" s="281" t="e">
        <f>B19-AN19</f>
        <v>#DIV/0!</v>
      </c>
    </row>
    <row r="20" spans="1:52">
      <c r="A20" s="428" t="str">
        <f>'1)Summary &amp; Gap'!A53</f>
        <v>HOME</v>
      </c>
      <c r="B20" s="411">
        <f>'1)Summary &amp; Gap'!D53</f>
        <v>0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9">
        <f>SUM(C20:Z20)</f>
        <v>0</v>
      </c>
      <c r="AO20" s="38" t="str">
        <f t="shared" si="25"/>
        <v>Balanced</v>
      </c>
      <c r="AP20" s="281">
        <f t="shared" si="26"/>
        <v>0</v>
      </c>
    </row>
    <row r="21" spans="1:52">
      <c r="A21" s="428" t="str">
        <f>'1)Summary &amp; Gap'!A54</f>
        <v>FHLB AHP</v>
      </c>
      <c r="B21" s="411">
        <f>'1)Summary &amp; Gap'!D54</f>
        <v>0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9">
        <f t="shared" si="24"/>
        <v>0</v>
      </c>
      <c r="AO21" s="38" t="str">
        <f t="shared" si="25"/>
        <v>Balanced</v>
      </c>
      <c r="AP21" s="281">
        <f t="shared" si="26"/>
        <v>0</v>
      </c>
    </row>
    <row r="22" spans="1:52">
      <c r="A22" s="428" t="str">
        <f>'1)Summary &amp; Gap'!A55</f>
        <v>Other</v>
      </c>
      <c r="B22" s="411">
        <f>'1)Summary &amp; Gap'!D55</f>
        <v>0</v>
      </c>
      <c r="C22" s="404"/>
      <c r="D22" s="404"/>
      <c r="E22" s="404"/>
      <c r="F22" s="404"/>
      <c r="G22" s="404"/>
      <c r="H22" s="404"/>
      <c r="I22" s="404"/>
      <c r="J22" s="404"/>
      <c r="K22" s="404"/>
      <c r="L22" s="404"/>
      <c r="M22" s="404"/>
      <c r="N22" s="404"/>
      <c r="O22" s="404"/>
      <c r="P22" s="404"/>
      <c r="Q22" s="404"/>
      <c r="R22" s="404"/>
      <c r="S22" s="404"/>
      <c r="T22" s="404"/>
      <c r="U22" s="404"/>
      <c r="V22" s="404"/>
      <c r="W22" s="404"/>
      <c r="X22" s="404"/>
      <c r="Y22" s="404"/>
      <c r="Z22" s="404"/>
      <c r="AA22" s="404"/>
      <c r="AB22" s="404"/>
      <c r="AC22" s="404"/>
      <c r="AD22" s="404"/>
      <c r="AE22" s="404"/>
      <c r="AF22" s="404"/>
      <c r="AG22" s="404"/>
      <c r="AH22" s="404"/>
      <c r="AI22" s="404"/>
      <c r="AJ22" s="404"/>
      <c r="AK22" s="404"/>
      <c r="AL22" s="404"/>
      <c r="AM22" s="404"/>
      <c r="AN22" s="409">
        <f t="shared" si="24"/>
        <v>0</v>
      </c>
      <c r="AO22" s="38" t="str">
        <f t="shared" si="25"/>
        <v>Balanced</v>
      </c>
      <c r="AP22" s="281">
        <f t="shared" si="26"/>
        <v>0</v>
      </c>
    </row>
    <row r="23" spans="1:52">
      <c r="A23" s="428" t="str">
        <f>'1)Summary &amp; Gap'!A56</f>
        <v>Other</v>
      </c>
      <c r="B23" s="411">
        <f>'1)Summary &amp; Gap'!D56</f>
        <v>0</v>
      </c>
      <c r="C23" s="404"/>
      <c r="D23" s="404"/>
      <c r="E23" s="404"/>
      <c r="F23" s="404"/>
      <c r="G23" s="404"/>
      <c r="H23" s="404"/>
      <c r="I23" s="404"/>
      <c r="J23" s="404"/>
      <c r="K23" s="404"/>
      <c r="L23" s="404"/>
      <c r="M23" s="404"/>
      <c r="N23" s="404"/>
      <c r="O23" s="404"/>
      <c r="P23" s="404"/>
      <c r="Q23" s="404"/>
      <c r="R23" s="404"/>
      <c r="S23" s="404"/>
      <c r="T23" s="404"/>
      <c r="U23" s="404"/>
      <c r="V23" s="404"/>
      <c r="W23" s="404"/>
      <c r="X23" s="404"/>
      <c r="Y23" s="404"/>
      <c r="Z23" s="404"/>
      <c r="AA23" s="404"/>
      <c r="AB23" s="404"/>
      <c r="AC23" s="404"/>
      <c r="AD23" s="404"/>
      <c r="AE23" s="404"/>
      <c r="AF23" s="404"/>
      <c r="AG23" s="404"/>
      <c r="AH23" s="404"/>
      <c r="AI23" s="404"/>
      <c r="AJ23" s="404"/>
      <c r="AK23" s="404"/>
      <c r="AL23" s="404"/>
      <c r="AM23" s="404"/>
      <c r="AN23" s="409">
        <f t="shared" ref="AN23:AN25" si="27">SUM(C23:Z23)</f>
        <v>0</v>
      </c>
      <c r="AO23" s="38" t="str">
        <f t="shared" si="25"/>
        <v>Balanced</v>
      </c>
      <c r="AP23" s="281">
        <f t="shared" ref="AP23:AP25" si="28">B23-AN23</f>
        <v>0</v>
      </c>
    </row>
    <row r="24" spans="1:52">
      <c r="A24" s="428" t="str">
        <f>'1)Summary &amp; Gap'!A57</f>
        <v>Preconversion NOI (from Lease-Up)</v>
      </c>
      <c r="B24" s="411">
        <f>'1)Summary &amp; Gap'!D57</f>
        <v>0</v>
      </c>
      <c r="C24" s="404"/>
      <c r="D24" s="404"/>
      <c r="E24" s="404"/>
      <c r="F24" s="404"/>
      <c r="G24" s="404"/>
      <c r="H24" s="404"/>
      <c r="I24" s="404"/>
      <c r="J24" s="404"/>
      <c r="K24" s="404"/>
      <c r="L24" s="404"/>
      <c r="M24" s="404"/>
      <c r="N24" s="404"/>
      <c r="O24" s="404"/>
      <c r="P24" s="404"/>
      <c r="Q24" s="404"/>
      <c r="R24" s="404"/>
      <c r="S24" s="404"/>
      <c r="T24" s="404"/>
      <c r="U24" s="404"/>
      <c r="V24" s="404"/>
      <c r="W24" s="404"/>
      <c r="X24" s="404"/>
      <c r="Y24" s="404"/>
      <c r="Z24" s="404"/>
      <c r="AA24" s="404"/>
      <c r="AB24" s="404"/>
      <c r="AC24" s="404"/>
      <c r="AD24" s="404"/>
      <c r="AE24" s="404"/>
      <c r="AF24" s="404"/>
      <c r="AG24" s="404"/>
      <c r="AH24" s="404"/>
      <c r="AI24" s="404"/>
      <c r="AJ24" s="404"/>
      <c r="AK24" s="404"/>
      <c r="AL24" s="404"/>
      <c r="AM24" s="404"/>
      <c r="AN24" s="409">
        <f t="shared" si="27"/>
        <v>0</v>
      </c>
      <c r="AO24" s="38" t="str">
        <f t="shared" si="25"/>
        <v>Balanced</v>
      </c>
      <c r="AP24" s="281">
        <f t="shared" si="28"/>
        <v>0</v>
      </c>
    </row>
    <row r="25" spans="1:52">
      <c r="A25" s="429" t="str">
        <f>'1)Summary &amp; Gap'!A58</f>
        <v>Deferred Developer Fee</v>
      </c>
      <c r="B25" s="430">
        <f>'1)Summary &amp; Gap'!D58</f>
        <v>0</v>
      </c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05"/>
      <c r="AA25" s="405"/>
      <c r="AB25" s="405"/>
      <c r="AC25" s="405"/>
      <c r="AD25" s="405"/>
      <c r="AE25" s="405"/>
      <c r="AF25" s="405"/>
      <c r="AG25" s="405"/>
      <c r="AH25" s="405"/>
      <c r="AI25" s="405"/>
      <c r="AJ25" s="405"/>
      <c r="AK25" s="405"/>
      <c r="AL25" s="405"/>
      <c r="AM25" s="405"/>
      <c r="AN25" s="427">
        <f t="shared" si="27"/>
        <v>0</v>
      </c>
      <c r="AO25" s="276" t="str">
        <f t="shared" si="25"/>
        <v>Balanced</v>
      </c>
      <c r="AP25" s="291">
        <f t="shared" si="28"/>
        <v>0</v>
      </c>
    </row>
    <row r="26" spans="1:52">
      <c r="A26" s="406" t="s">
        <v>384</v>
      </c>
      <c r="B26" s="407" t="e">
        <f>SUM(B18:B25)</f>
        <v>#DIV/0!</v>
      </c>
      <c r="C26" s="408">
        <f t="shared" ref="C26:Z26" si="29">SUM(C17:C25)</f>
        <v>0</v>
      </c>
      <c r="D26" s="408">
        <f t="shared" si="29"/>
        <v>0</v>
      </c>
      <c r="E26" s="408">
        <f t="shared" si="29"/>
        <v>0</v>
      </c>
      <c r="F26" s="408">
        <f t="shared" si="29"/>
        <v>0</v>
      </c>
      <c r="G26" s="408">
        <f t="shared" si="29"/>
        <v>0</v>
      </c>
      <c r="H26" s="408">
        <f t="shared" si="29"/>
        <v>0</v>
      </c>
      <c r="I26" s="408">
        <f t="shared" si="29"/>
        <v>0</v>
      </c>
      <c r="J26" s="408">
        <f t="shared" si="29"/>
        <v>0</v>
      </c>
      <c r="K26" s="408">
        <f t="shared" si="29"/>
        <v>0</v>
      </c>
      <c r="L26" s="408">
        <f t="shared" si="29"/>
        <v>0</v>
      </c>
      <c r="M26" s="408">
        <f t="shared" si="29"/>
        <v>0</v>
      </c>
      <c r="N26" s="408">
        <f t="shared" si="29"/>
        <v>0</v>
      </c>
      <c r="O26" s="408">
        <f t="shared" si="29"/>
        <v>0</v>
      </c>
      <c r="P26" s="408">
        <f t="shared" si="29"/>
        <v>0</v>
      </c>
      <c r="Q26" s="408">
        <f t="shared" si="29"/>
        <v>0</v>
      </c>
      <c r="R26" s="408">
        <f t="shared" si="29"/>
        <v>0</v>
      </c>
      <c r="S26" s="408">
        <f t="shared" si="29"/>
        <v>0</v>
      </c>
      <c r="T26" s="408">
        <f t="shared" si="29"/>
        <v>0</v>
      </c>
      <c r="U26" s="408">
        <f t="shared" si="29"/>
        <v>0</v>
      </c>
      <c r="V26" s="408">
        <f t="shared" si="29"/>
        <v>0</v>
      </c>
      <c r="W26" s="408">
        <f t="shared" si="29"/>
        <v>0</v>
      </c>
      <c r="X26" s="408">
        <f t="shared" si="29"/>
        <v>0</v>
      </c>
      <c r="Y26" s="408">
        <f t="shared" si="29"/>
        <v>0</v>
      </c>
      <c r="Z26" s="408">
        <f t="shared" si="29"/>
        <v>0</v>
      </c>
      <c r="AA26" s="408">
        <f t="shared" ref="AA26:AM26" si="30">SUM(AA17:AA25)</f>
        <v>0</v>
      </c>
      <c r="AB26" s="408">
        <f t="shared" si="30"/>
        <v>0</v>
      </c>
      <c r="AC26" s="408">
        <f t="shared" si="30"/>
        <v>0</v>
      </c>
      <c r="AD26" s="408">
        <f t="shared" si="30"/>
        <v>0</v>
      </c>
      <c r="AE26" s="408">
        <f t="shared" si="30"/>
        <v>0</v>
      </c>
      <c r="AF26" s="408">
        <f t="shared" si="30"/>
        <v>0</v>
      </c>
      <c r="AG26" s="408">
        <f t="shared" si="30"/>
        <v>0</v>
      </c>
      <c r="AH26" s="408">
        <f t="shared" si="30"/>
        <v>0</v>
      </c>
      <c r="AI26" s="408">
        <f t="shared" si="30"/>
        <v>0</v>
      </c>
      <c r="AJ26" s="408">
        <f t="shared" si="30"/>
        <v>0</v>
      </c>
      <c r="AK26" s="408">
        <f t="shared" si="30"/>
        <v>0</v>
      </c>
      <c r="AL26" s="408">
        <f t="shared" si="30"/>
        <v>0</v>
      </c>
      <c r="AM26" s="408">
        <f t="shared" si="30"/>
        <v>0</v>
      </c>
      <c r="AN26" s="409">
        <f>SUM(AN18:AN25)</f>
        <v>0</v>
      </c>
      <c r="AO26" s="38" t="e">
        <f t="shared" ref="AO26" si="31">IF(ABS((AN26-B26)&lt;1),"Balanced",IF(AN26&gt;B26,"Over","Under"))</f>
        <v>#DIV/0!</v>
      </c>
      <c r="AP26" s="281" t="e">
        <f t="shared" si="26"/>
        <v>#DIV/0!</v>
      </c>
    </row>
    <row r="27" spans="1:52">
      <c r="A27" s="410"/>
      <c r="B27" s="411"/>
      <c r="C27" s="281"/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412"/>
      <c r="AO27" s="413" t="s">
        <v>385</v>
      </c>
      <c r="AP27" s="281">
        <f>AN26-AN14</f>
        <v>0</v>
      </c>
    </row>
    <row r="28" spans="1:52">
      <c r="A28" s="414" t="s">
        <v>386</v>
      </c>
      <c r="B28" s="281"/>
      <c r="C28" s="281"/>
      <c r="D28" s="281"/>
      <c r="E28" s="281"/>
      <c r="F28" s="281"/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  <c r="AH28" s="281"/>
      <c r="AI28" s="281"/>
      <c r="AJ28" s="281"/>
      <c r="AK28" s="281"/>
      <c r="AL28" s="281"/>
      <c r="AM28" s="281"/>
      <c r="AN28" s="129"/>
      <c r="AO28" s="415" t="s">
        <v>387</v>
      </c>
      <c r="AP28" s="14" t="e">
        <f>AP27/AN14</f>
        <v>#DIV/0!</v>
      </c>
      <c r="AQ28" s="77"/>
      <c r="AR28" s="77"/>
      <c r="AS28" s="77"/>
      <c r="AT28" s="77"/>
      <c r="AU28" s="77"/>
      <c r="AV28" s="77"/>
      <c r="AW28" s="77"/>
      <c r="AX28" s="77"/>
      <c r="AY28" s="77"/>
      <c r="AZ28" s="77"/>
    </row>
    <row r="29" spans="1:52">
      <c r="A29" s="416" t="s">
        <v>388</v>
      </c>
      <c r="B29" s="282"/>
      <c r="C29" s="417">
        <f>C26-C14</f>
        <v>0</v>
      </c>
      <c r="D29" s="417">
        <f>D26-D14</f>
        <v>0</v>
      </c>
      <c r="E29" s="417">
        <f t="shared" ref="E29:Z29" si="32">E26-E14</f>
        <v>0</v>
      </c>
      <c r="F29" s="417">
        <f t="shared" si="32"/>
        <v>0</v>
      </c>
      <c r="G29" s="417">
        <f t="shared" si="32"/>
        <v>0</v>
      </c>
      <c r="H29" s="417">
        <f t="shared" si="32"/>
        <v>0</v>
      </c>
      <c r="I29" s="417">
        <f t="shared" si="32"/>
        <v>0</v>
      </c>
      <c r="J29" s="417">
        <f t="shared" si="32"/>
        <v>0</v>
      </c>
      <c r="K29" s="417">
        <f t="shared" si="32"/>
        <v>0</v>
      </c>
      <c r="L29" s="417">
        <f t="shared" si="32"/>
        <v>0</v>
      </c>
      <c r="M29" s="417">
        <f t="shared" si="32"/>
        <v>0</v>
      </c>
      <c r="N29" s="417">
        <f t="shared" si="32"/>
        <v>0</v>
      </c>
      <c r="O29" s="417">
        <f t="shared" si="32"/>
        <v>0</v>
      </c>
      <c r="P29" s="417">
        <f t="shared" si="32"/>
        <v>0</v>
      </c>
      <c r="Q29" s="417">
        <f t="shared" si="32"/>
        <v>0</v>
      </c>
      <c r="R29" s="417">
        <f t="shared" si="32"/>
        <v>0</v>
      </c>
      <c r="S29" s="417">
        <f t="shared" si="32"/>
        <v>0</v>
      </c>
      <c r="T29" s="417">
        <f t="shared" si="32"/>
        <v>0</v>
      </c>
      <c r="U29" s="417">
        <f t="shared" si="32"/>
        <v>0</v>
      </c>
      <c r="V29" s="417">
        <f t="shared" si="32"/>
        <v>0</v>
      </c>
      <c r="W29" s="417">
        <f t="shared" si="32"/>
        <v>0</v>
      </c>
      <c r="X29" s="417">
        <f t="shared" si="32"/>
        <v>0</v>
      </c>
      <c r="Y29" s="417">
        <f t="shared" si="32"/>
        <v>0</v>
      </c>
      <c r="Z29" s="417">
        <f t="shared" si="32"/>
        <v>0</v>
      </c>
      <c r="AA29" s="417">
        <f t="shared" ref="AA29:AM29" si="33">AA26-AA14</f>
        <v>0</v>
      </c>
      <c r="AB29" s="417">
        <f t="shared" si="33"/>
        <v>0</v>
      </c>
      <c r="AC29" s="417">
        <f t="shared" si="33"/>
        <v>0</v>
      </c>
      <c r="AD29" s="417">
        <f t="shared" si="33"/>
        <v>0</v>
      </c>
      <c r="AE29" s="417">
        <f t="shared" si="33"/>
        <v>0</v>
      </c>
      <c r="AF29" s="417">
        <f t="shared" si="33"/>
        <v>0</v>
      </c>
      <c r="AG29" s="417">
        <f t="shared" si="33"/>
        <v>0</v>
      </c>
      <c r="AH29" s="417">
        <f t="shared" si="33"/>
        <v>0</v>
      </c>
      <c r="AI29" s="417">
        <f t="shared" si="33"/>
        <v>0</v>
      </c>
      <c r="AJ29" s="417">
        <f t="shared" si="33"/>
        <v>0</v>
      </c>
      <c r="AK29" s="417">
        <f t="shared" si="33"/>
        <v>0</v>
      </c>
      <c r="AL29" s="417">
        <f t="shared" si="33"/>
        <v>0</v>
      </c>
      <c r="AM29" s="417">
        <f t="shared" si="33"/>
        <v>0</v>
      </c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</row>
    <row r="30" spans="1:52">
      <c r="A30" s="418" t="s">
        <v>389</v>
      </c>
      <c r="B30" s="281"/>
      <c r="C30" s="419">
        <f>-IF(C29&lt;0,C29,0)</f>
        <v>0</v>
      </c>
      <c r="D30" s="419">
        <f t="shared" ref="D30:AM30" si="34">-IF(D29&lt;0,D29,0)</f>
        <v>0</v>
      </c>
      <c r="E30" s="419">
        <f t="shared" si="34"/>
        <v>0</v>
      </c>
      <c r="F30" s="419">
        <f t="shared" si="34"/>
        <v>0</v>
      </c>
      <c r="G30" s="419">
        <f t="shared" si="34"/>
        <v>0</v>
      </c>
      <c r="H30" s="419">
        <f t="shared" si="34"/>
        <v>0</v>
      </c>
      <c r="I30" s="419">
        <f t="shared" si="34"/>
        <v>0</v>
      </c>
      <c r="J30" s="419">
        <f t="shared" si="34"/>
        <v>0</v>
      </c>
      <c r="K30" s="419">
        <f t="shared" si="34"/>
        <v>0</v>
      </c>
      <c r="L30" s="419">
        <f t="shared" si="34"/>
        <v>0</v>
      </c>
      <c r="M30" s="419">
        <f t="shared" si="34"/>
        <v>0</v>
      </c>
      <c r="N30" s="419">
        <f t="shared" si="34"/>
        <v>0</v>
      </c>
      <c r="O30" s="419">
        <f t="shared" si="34"/>
        <v>0</v>
      </c>
      <c r="P30" s="419">
        <f t="shared" si="34"/>
        <v>0</v>
      </c>
      <c r="Q30" s="419">
        <f t="shared" si="34"/>
        <v>0</v>
      </c>
      <c r="R30" s="419">
        <f t="shared" si="34"/>
        <v>0</v>
      </c>
      <c r="S30" s="419">
        <f t="shared" si="34"/>
        <v>0</v>
      </c>
      <c r="T30" s="419">
        <f t="shared" si="34"/>
        <v>0</v>
      </c>
      <c r="U30" s="419">
        <f t="shared" si="34"/>
        <v>0</v>
      </c>
      <c r="V30" s="419">
        <f t="shared" si="34"/>
        <v>0</v>
      </c>
      <c r="W30" s="419">
        <f t="shared" si="34"/>
        <v>0</v>
      </c>
      <c r="X30" s="419">
        <f t="shared" si="34"/>
        <v>0</v>
      </c>
      <c r="Y30" s="419">
        <f t="shared" si="34"/>
        <v>0</v>
      </c>
      <c r="Z30" s="419">
        <f t="shared" si="34"/>
        <v>0</v>
      </c>
      <c r="AA30" s="419">
        <f t="shared" si="34"/>
        <v>0</v>
      </c>
      <c r="AB30" s="419">
        <f t="shared" si="34"/>
        <v>0</v>
      </c>
      <c r="AC30" s="419">
        <f t="shared" si="34"/>
        <v>0</v>
      </c>
      <c r="AD30" s="419">
        <f t="shared" si="34"/>
        <v>0</v>
      </c>
      <c r="AE30" s="419">
        <f t="shared" si="34"/>
        <v>0</v>
      </c>
      <c r="AF30" s="419">
        <f t="shared" si="34"/>
        <v>0</v>
      </c>
      <c r="AG30" s="419">
        <f t="shared" si="34"/>
        <v>0</v>
      </c>
      <c r="AH30" s="419">
        <f t="shared" si="34"/>
        <v>0</v>
      </c>
      <c r="AI30" s="419">
        <f t="shared" si="34"/>
        <v>0</v>
      </c>
      <c r="AJ30" s="419">
        <f t="shared" si="34"/>
        <v>0</v>
      </c>
      <c r="AK30" s="419">
        <f t="shared" si="34"/>
        <v>0</v>
      </c>
      <c r="AL30" s="419">
        <f t="shared" si="34"/>
        <v>0</v>
      </c>
      <c r="AM30" s="419">
        <f t="shared" si="34"/>
        <v>0</v>
      </c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</row>
    <row r="31" spans="1:52">
      <c r="A31" s="418" t="s">
        <v>390</v>
      </c>
      <c r="B31" s="281"/>
      <c r="C31" s="420"/>
      <c r="D31" s="419">
        <f t="shared" ref="D31:M31" si="35">IF(D29&gt;0,MAX(-D29,-C32),0)</f>
        <v>0</v>
      </c>
      <c r="E31" s="419">
        <f t="shared" si="35"/>
        <v>0</v>
      </c>
      <c r="F31" s="419">
        <f t="shared" si="35"/>
        <v>0</v>
      </c>
      <c r="G31" s="419">
        <f t="shared" si="35"/>
        <v>0</v>
      </c>
      <c r="H31" s="419">
        <f t="shared" si="35"/>
        <v>0</v>
      </c>
      <c r="I31" s="419">
        <f t="shared" si="35"/>
        <v>0</v>
      </c>
      <c r="J31" s="419">
        <f t="shared" si="35"/>
        <v>0</v>
      </c>
      <c r="K31" s="419">
        <f t="shared" si="35"/>
        <v>0</v>
      </c>
      <c r="L31" s="419">
        <f t="shared" si="35"/>
        <v>0</v>
      </c>
      <c r="M31" s="419">
        <f t="shared" si="35"/>
        <v>0</v>
      </c>
      <c r="N31" s="419">
        <f>IF(N29&gt;0,MAX(-N29,-M32),0)</f>
        <v>0</v>
      </c>
      <c r="O31" s="419">
        <f t="shared" ref="O31:AM31" si="36">IF(O29&gt;0,MAX(-O29,-N32),0)</f>
        <v>0</v>
      </c>
      <c r="P31" s="419">
        <f t="shared" si="36"/>
        <v>0</v>
      </c>
      <c r="Q31" s="419">
        <f t="shared" si="36"/>
        <v>0</v>
      </c>
      <c r="R31" s="419">
        <f t="shared" si="36"/>
        <v>0</v>
      </c>
      <c r="S31" s="419">
        <f t="shared" si="36"/>
        <v>0</v>
      </c>
      <c r="T31" s="419">
        <f t="shared" si="36"/>
        <v>0</v>
      </c>
      <c r="U31" s="419">
        <f t="shared" si="36"/>
        <v>0</v>
      </c>
      <c r="V31" s="419">
        <f t="shared" si="36"/>
        <v>0</v>
      </c>
      <c r="W31" s="419">
        <f t="shared" si="36"/>
        <v>0</v>
      </c>
      <c r="X31" s="419">
        <f t="shared" si="36"/>
        <v>0</v>
      </c>
      <c r="Y31" s="419">
        <f t="shared" si="36"/>
        <v>0</v>
      </c>
      <c r="Z31" s="419">
        <f t="shared" si="36"/>
        <v>0</v>
      </c>
      <c r="AA31" s="419">
        <f t="shared" si="36"/>
        <v>0</v>
      </c>
      <c r="AB31" s="419">
        <f t="shared" si="36"/>
        <v>0</v>
      </c>
      <c r="AC31" s="419">
        <f t="shared" si="36"/>
        <v>0</v>
      </c>
      <c r="AD31" s="419">
        <f t="shared" si="36"/>
        <v>0</v>
      </c>
      <c r="AE31" s="419">
        <f t="shared" si="36"/>
        <v>0</v>
      </c>
      <c r="AF31" s="419">
        <f t="shared" si="36"/>
        <v>0</v>
      </c>
      <c r="AG31" s="419">
        <f t="shared" si="36"/>
        <v>0</v>
      </c>
      <c r="AH31" s="419">
        <f t="shared" si="36"/>
        <v>0</v>
      </c>
      <c r="AI31" s="419">
        <f t="shared" si="36"/>
        <v>0</v>
      </c>
      <c r="AJ31" s="419">
        <f t="shared" si="36"/>
        <v>0</v>
      </c>
      <c r="AK31" s="419">
        <f t="shared" si="36"/>
        <v>0</v>
      </c>
      <c r="AL31" s="419">
        <f t="shared" si="36"/>
        <v>0</v>
      </c>
      <c r="AM31" s="419">
        <f t="shared" si="36"/>
        <v>0</v>
      </c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</row>
    <row r="32" spans="1:52">
      <c r="A32" s="421" t="s">
        <v>391</v>
      </c>
      <c r="B32" s="291"/>
      <c r="C32" s="408">
        <f>C30+C31</f>
        <v>0</v>
      </c>
      <c r="D32" s="408">
        <f>C32+D30+D31</f>
        <v>0</v>
      </c>
      <c r="E32" s="408">
        <f t="shared" ref="E32:Z32" si="37">D32+E30+E31</f>
        <v>0</v>
      </c>
      <c r="F32" s="408">
        <f t="shared" si="37"/>
        <v>0</v>
      </c>
      <c r="G32" s="408">
        <f t="shared" si="37"/>
        <v>0</v>
      </c>
      <c r="H32" s="408">
        <f t="shared" si="37"/>
        <v>0</v>
      </c>
      <c r="I32" s="408">
        <f t="shared" si="37"/>
        <v>0</v>
      </c>
      <c r="J32" s="408">
        <f t="shared" si="37"/>
        <v>0</v>
      </c>
      <c r="K32" s="408">
        <f t="shared" si="37"/>
        <v>0</v>
      </c>
      <c r="L32" s="408">
        <f t="shared" si="37"/>
        <v>0</v>
      </c>
      <c r="M32" s="408">
        <f t="shared" si="37"/>
        <v>0</v>
      </c>
      <c r="N32" s="408">
        <f t="shared" si="37"/>
        <v>0</v>
      </c>
      <c r="O32" s="408">
        <f t="shared" si="37"/>
        <v>0</v>
      </c>
      <c r="P32" s="408">
        <f t="shared" si="37"/>
        <v>0</v>
      </c>
      <c r="Q32" s="408">
        <f t="shared" si="37"/>
        <v>0</v>
      </c>
      <c r="R32" s="408">
        <f t="shared" si="37"/>
        <v>0</v>
      </c>
      <c r="S32" s="408">
        <f t="shared" si="37"/>
        <v>0</v>
      </c>
      <c r="T32" s="408">
        <f t="shared" si="37"/>
        <v>0</v>
      </c>
      <c r="U32" s="408">
        <f t="shared" si="37"/>
        <v>0</v>
      </c>
      <c r="V32" s="408">
        <f t="shared" si="37"/>
        <v>0</v>
      </c>
      <c r="W32" s="408">
        <f t="shared" si="37"/>
        <v>0</v>
      </c>
      <c r="X32" s="408">
        <f t="shared" si="37"/>
        <v>0</v>
      </c>
      <c r="Y32" s="408">
        <f t="shared" si="37"/>
        <v>0</v>
      </c>
      <c r="Z32" s="408">
        <f t="shared" si="37"/>
        <v>0</v>
      </c>
      <c r="AA32" s="408">
        <f t="shared" ref="AA32" si="38">Z32+AA30+AA31</f>
        <v>0</v>
      </c>
      <c r="AB32" s="408">
        <f t="shared" ref="AB32" si="39">AA32+AB30+AB31</f>
        <v>0</v>
      </c>
      <c r="AC32" s="408">
        <f t="shared" ref="AC32" si="40">AB32+AC30+AC31</f>
        <v>0</v>
      </c>
      <c r="AD32" s="408">
        <f t="shared" ref="AD32" si="41">AC32+AD30+AD31</f>
        <v>0</v>
      </c>
      <c r="AE32" s="408">
        <f t="shared" ref="AE32" si="42">AD32+AE30+AE31</f>
        <v>0</v>
      </c>
      <c r="AF32" s="408">
        <f t="shared" ref="AF32" si="43">AE32+AF30+AF31</f>
        <v>0</v>
      </c>
      <c r="AG32" s="408">
        <f t="shared" ref="AG32" si="44">AF32+AG30+AG31</f>
        <v>0</v>
      </c>
      <c r="AH32" s="408">
        <f t="shared" ref="AH32" si="45">AG32+AH30+AH31</f>
        <v>0</v>
      </c>
      <c r="AI32" s="408">
        <f t="shared" ref="AI32" si="46">AH32+AI30+AI31</f>
        <v>0</v>
      </c>
      <c r="AJ32" s="408">
        <f t="shared" ref="AJ32" si="47">AI32+AJ30+AJ31</f>
        <v>0</v>
      </c>
      <c r="AK32" s="408">
        <f t="shared" ref="AK32" si="48">AJ32+AK30+AK31</f>
        <v>0</v>
      </c>
      <c r="AL32" s="408">
        <f t="shared" ref="AL32" si="49">AK32+AL30+AL31</f>
        <v>0</v>
      </c>
      <c r="AM32" s="408">
        <f t="shared" ref="AM32" si="50">AL32+AM30+AM31</f>
        <v>0</v>
      </c>
      <c r="AN32" s="77"/>
      <c r="AO32" s="77"/>
      <c r="AP32" s="77"/>
      <c r="AQ32" s="77"/>
      <c r="AR32" s="77"/>
      <c r="AS32" s="77"/>
      <c r="AT32" s="77"/>
      <c r="AU32" s="77"/>
      <c r="AV32" s="77"/>
      <c r="AW32" s="77"/>
      <c r="AX32" s="77"/>
      <c r="AY32" s="77"/>
      <c r="AZ32" s="77"/>
    </row>
    <row r="33" spans="1:52">
      <c r="A33" s="418"/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</row>
    <row r="34" spans="1:52">
      <c r="A34" s="422" t="s">
        <v>392</v>
      </c>
      <c r="B34" s="296"/>
      <c r="C34" s="423">
        <f>MAX(0,(C29+C31))</f>
        <v>0</v>
      </c>
      <c r="D34" s="423">
        <f t="shared" ref="D34:AM34" si="51">MAX(0,(D29+D31))</f>
        <v>0</v>
      </c>
      <c r="E34" s="423">
        <f t="shared" si="51"/>
        <v>0</v>
      </c>
      <c r="F34" s="423">
        <f t="shared" si="51"/>
        <v>0</v>
      </c>
      <c r="G34" s="423">
        <f t="shared" si="51"/>
        <v>0</v>
      </c>
      <c r="H34" s="423">
        <f t="shared" si="51"/>
        <v>0</v>
      </c>
      <c r="I34" s="423">
        <f t="shared" si="51"/>
        <v>0</v>
      </c>
      <c r="J34" s="423">
        <f t="shared" si="51"/>
        <v>0</v>
      </c>
      <c r="K34" s="423">
        <f t="shared" si="51"/>
        <v>0</v>
      </c>
      <c r="L34" s="423">
        <f t="shared" si="51"/>
        <v>0</v>
      </c>
      <c r="M34" s="423">
        <f t="shared" si="51"/>
        <v>0</v>
      </c>
      <c r="N34" s="423">
        <f t="shared" si="51"/>
        <v>0</v>
      </c>
      <c r="O34" s="423">
        <f t="shared" si="51"/>
        <v>0</v>
      </c>
      <c r="P34" s="423">
        <f t="shared" si="51"/>
        <v>0</v>
      </c>
      <c r="Q34" s="423">
        <f t="shared" si="51"/>
        <v>0</v>
      </c>
      <c r="R34" s="423">
        <f t="shared" si="51"/>
        <v>0</v>
      </c>
      <c r="S34" s="423">
        <f t="shared" si="51"/>
        <v>0</v>
      </c>
      <c r="T34" s="423">
        <f t="shared" si="51"/>
        <v>0</v>
      </c>
      <c r="U34" s="423">
        <f t="shared" si="51"/>
        <v>0</v>
      </c>
      <c r="V34" s="423">
        <f t="shared" si="51"/>
        <v>0</v>
      </c>
      <c r="W34" s="423">
        <f t="shared" si="51"/>
        <v>0</v>
      </c>
      <c r="X34" s="423">
        <f t="shared" si="51"/>
        <v>0</v>
      </c>
      <c r="Y34" s="423">
        <f t="shared" si="51"/>
        <v>0</v>
      </c>
      <c r="Z34" s="423">
        <f t="shared" si="51"/>
        <v>0</v>
      </c>
      <c r="AA34" s="423">
        <f t="shared" si="51"/>
        <v>0</v>
      </c>
      <c r="AB34" s="423">
        <f t="shared" si="51"/>
        <v>0</v>
      </c>
      <c r="AC34" s="423">
        <f t="shared" si="51"/>
        <v>0</v>
      </c>
      <c r="AD34" s="423">
        <f t="shared" si="51"/>
        <v>0</v>
      </c>
      <c r="AE34" s="423">
        <f t="shared" si="51"/>
        <v>0</v>
      </c>
      <c r="AF34" s="423">
        <f t="shared" si="51"/>
        <v>0</v>
      </c>
      <c r="AG34" s="423">
        <f t="shared" si="51"/>
        <v>0</v>
      </c>
      <c r="AH34" s="423">
        <f t="shared" si="51"/>
        <v>0</v>
      </c>
      <c r="AI34" s="423">
        <f t="shared" si="51"/>
        <v>0</v>
      </c>
      <c r="AJ34" s="423">
        <f t="shared" si="51"/>
        <v>0</v>
      </c>
      <c r="AK34" s="423">
        <f t="shared" si="51"/>
        <v>0</v>
      </c>
      <c r="AL34" s="423">
        <f t="shared" si="51"/>
        <v>0</v>
      </c>
      <c r="AM34" s="423">
        <f t="shared" si="51"/>
        <v>0</v>
      </c>
      <c r="AN34" s="185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</row>
    <row r="35" spans="1:52">
      <c r="A35" s="424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</row>
    <row r="36" spans="1:52">
      <c r="A36" s="424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</row>
    <row r="37" spans="1:52">
      <c r="A37" s="424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</row>
    <row r="38" spans="1:52">
      <c r="A38" s="424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</row>
    <row r="39" spans="1:52">
      <c r="A39" s="424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</row>
    <row r="40" spans="1:52">
      <c r="A40" s="424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</row>
    <row r="41" spans="1:52">
      <c r="A41" s="424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</row>
    <row r="42" spans="1:52">
      <c r="A42" s="424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</row>
    <row r="43" spans="1:52">
      <c r="A43" s="424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</row>
    <row r="44" spans="1:52"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</row>
    <row r="45" spans="1:52"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7"/>
      <c r="AJ45" s="77"/>
      <c r="AK45" s="77"/>
      <c r="AL45" s="77"/>
      <c r="AM45" s="77"/>
    </row>
    <row r="46" spans="1:52"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</row>
    <row r="47" spans="1:52"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</row>
    <row r="48" spans="1:52"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</row>
    <row r="49" spans="3:39"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</row>
    <row r="50" spans="3:39"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</row>
    <row r="51" spans="3:39"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</row>
    <row r="52" spans="3:39"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</row>
    <row r="53" spans="3:39"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</row>
    <row r="54" spans="3:39"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7"/>
      <c r="AI54" s="77"/>
      <c r="AJ54" s="77"/>
      <c r="AK54" s="77"/>
      <c r="AL54" s="77"/>
      <c r="AM54" s="77"/>
    </row>
    <row r="55" spans="3:39"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</row>
    <row r="56" spans="3:39"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7"/>
      <c r="AI56" s="77"/>
      <c r="AJ56" s="77"/>
      <c r="AK56" s="77"/>
      <c r="AL56" s="77"/>
      <c r="AM56" s="77"/>
    </row>
    <row r="57" spans="3:39"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</row>
    <row r="58" spans="3:39"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</row>
    <row r="59" spans="3:39"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</row>
    <row r="60" spans="3:39"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</row>
    <row r="61" spans="3:39"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</row>
    <row r="62" spans="3:39"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</row>
    <row r="63" spans="3:39"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</row>
    <row r="64" spans="3:39"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</row>
    <row r="65" spans="3:39"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</row>
    <row r="66" spans="3:39"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  <c r="AL66" s="77"/>
      <c r="AM66" s="77"/>
    </row>
    <row r="67" spans="3:39"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7"/>
      <c r="AI67" s="77"/>
      <c r="AJ67" s="77"/>
      <c r="AK67" s="77"/>
      <c r="AL67" s="77"/>
      <c r="AM67" s="77"/>
    </row>
    <row r="68" spans="3:39"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</row>
    <row r="69" spans="3:39"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</row>
    <row r="70" spans="3:39"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</row>
    <row r="71" spans="3:39"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</row>
    <row r="72" spans="3:39">
      <c r="C72" s="77"/>
      <c r="D72" s="77"/>
      <c r="E72" s="77"/>
      <c r="F72" s="77"/>
      <c r="G72" s="77"/>
      <c r="H72" s="77"/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</row>
    <row r="73" spans="3:39">
      <c r="C73" s="77"/>
      <c r="D73" s="77"/>
      <c r="E73" s="77"/>
      <c r="F73" s="77"/>
      <c r="G73" s="77"/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</row>
    <row r="74" spans="3:39"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</row>
    <row r="75" spans="3:39"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</row>
    <row r="76" spans="3:39"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</row>
    <row r="77" spans="3:39"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</row>
    <row r="78" spans="3:39"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7"/>
      <c r="AI78" s="77"/>
      <c r="AJ78" s="77"/>
      <c r="AK78" s="77"/>
      <c r="AL78" s="77"/>
      <c r="AM78" s="77"/>
    </row>
    <row r="79" spans="3:39"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</row>
    <row r="80" spans="3:39"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</row>
    <row r="81" spans="3:39"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</row>
  </sheetData>
  <sheetProtection algorithmName="SHA-512" hashValue="Ebwhht4WxpNcOzQnj1HTsUxK2dxciXoeHpTg9vaL/+hyGmnAAFNhafwbKGdMyqIiT53FVA+RHGMx5Ua1SHE+rQ==" saltValue="pu7lCUJ2L0KMu8SIQGWx0Q==" spinCount="100000" sheet="1" objects="1" scenarios="1" formatColumns="0" selectLockedCells="1"/>
  <mergeCells count="1">
    <mergeCell ref="A1:B1"/>
  </mergeCells>
  <phoneticPr fontId="0" type="noConversion"/>
  <printOptions verticalCentered="1"/>
  <pageMargins left="0.5" right="0.5" top="0.5" bottom="0.5" header="0.5" footer="0.5"/>
  <pageSetup scale="95" fitToWidth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B8B9-3667-4DB3-ABF7-B5248B3D0800}">
  <dimension ref="A1:I50"/>
  <sheetViews>
    <sheetView showGridLines="0" zoomScaleNormal="100" workbookViewId="0">
      <selection activeCell="C25" sqref="C25"/>
    </sheetView>
  </sheetViews>
  <sheetFormatPr defaultRowHeight="12.75" outlineLevelRow="1"/>
  <cols>
    <col min="1" max="1" width="2.7109375" style="449" bestFit="1" customWidth="1"/>
    <col min="2" max="2" width="9.140625" style="450"/>
    <col min="3" max="3" width="9.42578125" style="450" bestFit="1" customWidth="1"/>
    <col min="4" max="4" width="13.5703125" style="450" customWidth="1"/>
    <col min="5" max="7" width="9.140625" style="450"/>
    <col min="8" max="8" width="10.7109375" style="450" customWidth="1"/>
    <col min="9" max="9" width="14.140625" style="450" bestFit="1" customWidth="1"/>
    <col min="10" max="16384" width="9.140625" style="450"/>
  </cols>
  <sheetData>
    <row r="1" spans="1:9" s="38" customFormat="1">
      <c r="A1" s="156"/>
      <c r="B1" s="455" t="str">
        <f>"LEASE UP: "&amp;Project&amp;" ("&amp;Developer&amp;")"</f>
        <v>LEASE UP:  ()</v>
      </c>
      <c r="C1" s="455"/>
      <c r="D1" s="455"/>
      <c r="E1" s="455"/>
      <c r="F1" s="455"/>
      <c r="G1" s="455"/>
      <c r="H1" s="455"/>
      <c r="I1" s="455"/>
    </row>
    <row r="2" spans="1:9" s="38" customFormat="1" ht="15">
      <c r="A2" s="156"/>
      <c r="B2" s="136" t="str">
        <f>("Project: "&amp;Project)</f>
        <v xml:space="preserve">Project: </v>
      </c>
      <c r="C2" s="339"/>
      <c r="E2" s="136" t="str">
        <f>("Developer: "&amp;Developer)</f>
        <v xml:space="preserve">Developer: </v>
      </c>
    </row>
    <row r="3" spans="1:9" s="38" customFormat="1" ht="15">
      <c r="A3" s="156"/>
      <c r="B3" s="136"/>
      <c r="C3" s="339"/>
      <c r="E3" s="136"/>
    </row>
    <row r="4" spans="1:9" s="38" customFormat="1">
      <c r="A4" s="156"/>
      <c r="B4" s="136"/>
      <c r="D4" s="172" t="s">
        <v>89</v>
      </c>
      <c r="E4" s="136"/>
    </row>
    <row r="5" spans="1:9" s="38" customFormat="1">
      <c r="A5" s="156"/>
      <c r="B5" s="38" t="s">
        <v>393</v>
      </c>
      <c r="D5" s="77">
        <f>'2)Units&amp;Revenue'!H54</f>
        <v>0</v>
      </c>
      <c r="G5" s="38" t="s">
        <v>394</v>
      </c>
      <c r="I5" s="77">
        <f>SUMIF(I14:I55,"&lt;0")</f>
        <v>0</v>
      </c>
    </row>
    <row r="6" spans="1:9" s="38" customFormat="1">
      <c r="A6" s="156"/>
      <c r="B6" s="38" t="s">
        <v>395</v>
      </c>
      <c r="D6" s="77">
        <f>('3)Operating Budget'!C59-'3)Operating Budget'!C61)/12</f>
        <v>0</v>
      </c>
      <c r="G6" s="38" t="s">
        <v>396</v>
      </c>
      <c r="I6" s="77">
        <f>SUMIF(I14:I55,"&gt;0")</f>
        <v>0</v>
      </c>
    </row>
    <row r="7" spans="1:9" s="38" customFormat="1">
      <c r="A7" s="156"/>
      <c r="B7" s="38" t="s">
        <v>397</v>
      </c>
      <c r="D7" s="77">
        <f>'3)Operating Budget'!C61/12</f>
        <v>0</v>
      </c>
      <c r="G7" s="38" t="s">
        <v>398</v>
      </c>
      <c r="I7" s="77">
        <f>SUM(I14:I55)</f>
        <v>0</v>
      </c>
    </row>
    <row r="8" spans="1:9" s="38" customFormat="1">
      <c r="A8" s="156"/>
      <c r="B8" s="38" t="s">
        <v>399</v>
      </c>
      <c r="D8" s="21" t="s">
        <v>400</v>
      </c>
      <c r="G8" s="38" t="s">
        <v>401</v>
      </c>
      <c r="I8" s="20">
        <v>0.75</v>
      </c>
    </row>
    <row r="9" spans="1:9" s="38" customFormat="1">
      <c r="A9" s="156"/>
      <c r="G9" s="38" t="s">
        <v>402</v>
      </c>
      <c r="I9" s="77">
        <f>I8*I6</f>
        <v>0</v>
      </c>
    </row>
    <row r="10" spans="1:9" s="38" customFormat="1">
      <c r="A10" s="156"/>
      <c r="B10" s="38" t="s">
        <v>403</v>
      </c>
      <c r="D10" s="22">
        <v>36526</v>
      </c>
      <c r="E10" s="454" t="s">
        <v>404</v>
      </c>
    </row>
    <row r="11" spans="1:9" s="38" customFormat="1">
      <c r="A11" s="156"/>
      <c r="B11" s="38" t="s">
        <v>405</v>
      </c>
      <c r="D11" s="22">
        <v>36526</v>
      </c>
    </row>
    <row r="12" spans="1:9" s="38" customFormat="1">
      <c r="A12" s="156"/>
    </row>
    <row r="13" spans="1:9" s="38" customFormat="1" ht="33.75">
      <c r="A13" s="451"/>
      <c r="B13" s="452" t="s">
        <v>406</v>
      </c>
      <c r="C13" s="453" t="str">
        <f>"Cumulative Units Leased"</f>
        <v>Cumulative Units Leased</v>
      </c>
      <c r="D13" s="453" t="s">
        <v>407</v>
      </c>
      <c r="E13" s="453" t="s">
        <v>393</v>
      </c>
      <c r="F13" s="453" t="s">
        <v>408</v>
      </c>
      <c r="G13" s="453" t="s">
        <v>409</v>
      </c>
      <c r="H13" s="453" t="s">
        <v>410</v>
      </c>
      <c r="I13" s="453" t="s">
        <v>411</v>
      </c>
    </row>
    <row r="14" spans="1:9" s="38" customFormat="1">
      <c r="A14" s="445">
        <v>1</v>
      </c>
      <c r="B14" s="446">
        <f>D10</f>
        <v>36526</v>
      </c>
      <c r="C14" s="25"/>
      <c r="D14" s="26" t="str">
        <f t="shared" ref="D14:D49" si="0">IF($B14&gt;=$D$11,"",C14/Units)</f>
        <v/>
      </c>
      <c r="E14" s="448" t="str">
        <f t="shared" ref="E14:E49" si="1">IF($B14&gt;=$D$11,"",D14*$D$5)</f>
        <v/>
      </c>
      <c r="F14" s="448" t="str">
        <f t="shared" ref="F14:F49" si="2">IF($B14&gt;=$D$11,"",$D$6)</f>
        <v/>
      </c>
      <c r="G14" s="448" t="str">
        <f>IF($B14&gt;=$D$11,"",IF($D$8="Conversion",0,IF($D$8="Delivery",$D$7,IF(E14&gt;($D$6+$D$7),$D$7,0))))</f>
        <v/>
      </c>
      <c r="H14" s="448" t="str">
        <f t="shared" ref="H14:H49" si="3">IFERROR(F14+G14,"")</f>
        <v/>
      </c>
      <c r="I14" s="448" t="str">
        <f t="shared" ref="I14:I20" si="4">IF($B14&gt;=$D$11,"Post-Conversion",E14-H14)</f>
        <v>Post-Conversion</v>
      </c>
    </row>
    <row r="15" spans="1:9" s="38" customFormat="1">
      <c r="A15" s="445">
        <v>2</v>
      </c>
      <c r="B15" s="446">
        <f>EDATE(B14,1)</f>
        <v>36557</v>
      </c>
      <c r="C15" s="25"/>
      <c r="D15" s="26" t="str">
        <f t="shared" si="0"/>
        <v/>
      </c>
      <c r="E15" s="448" t="str">
        <f t="shared" si="1"/>
        <v/>
      </c>
      <c r="F15" s="448" t="str">
        <f t="shared" si="2"/>
        <v/>
      </c>
      <c r="G15" s="448" t="str">
        <f t="shared" ref="G15:G49" si="5">IF($B15&gt;=$D$11,"",IF($D$8="Conversion",0,IF($D$8="Delivery",$D$7,IF(E15&gt;($D$6+$D$7),$D$7,0))))</f>
        <v/>
      </c>
      <c r="H15" s="448" t="str">
        <f t="shared" si="3"/>
        <v/>
      </c>
      <c r="I15" s="448" t="str">
        <f t="shared" si="4"/>
        <v>Post-Conversion</v>
      </c>
    </row>
    <row r="16" spans="1:9" s="38" customFormat="1">
      <c r="A16" s="445">
        <v>3</v>
      </c>
      <c r="B16" s="446">
        <f t="shared" ref="B16:B49" si="6">EDATE(B15,1)</f>
        <v>36586</v>
      </c>
      <c r="C16" s="25"/>
      <c r="D16" s="26" t="str">
        <f t="shared" si="0"/>
        <v/>
      </c>
      <c r="E16" s="448" t="str">
        <f t="shared" si="1"/>
        <v/>
      </c>
      <c r="F16" s="448" t="str">
        <f t="shared" si="2"/>
        <v/>
      </c>
      <c r="G16" s="448" t="str">
        <f t="shared" si="5"/>
        <v/>
      </c>
      <c r="H16" s="448" t="str">
        <f t="shared" si="3"/>
        <v/>
      </c>
      <c r="I16" s="448" t="str">
        <f t="shared" si="4"/>
        <v>Post-Conversion</v>
      </c>
    </row>
    <row r="17" spans="1:9" s="38" customFormat="1">
      <c r="A17" s="445">
        <v>4</v>
      </c>
      <c r="B17" s="446">
        <f t="shared" si="6"/>
        <v>36617</v>
      </c>
      <c r="C17" s="25"/>
      <c r="D17" s="26" t="str">
        <f t="shared" si="0"/>
        <v/>
      </c>
      <c r="E17" s="448" t="str">
        <f t="shared" si="1"/>
        <v/>
      </c>
      <c r="F17" s="448" t="str">
        <f t="shared" si="2"/>
        <v/>
      </c>
      <c r="G17" s="448" t="str">
        <f t="shared" si="5"/>
        <v/>
      </c>
      <c r="H17" s="448" t="str">
        <f t="shared" si="3"/>
        <v/>
      </c>
      <c r="I17" s="448" t="str">
        <f t="shared" si="4"/>
        <v>Post-Conversion</v>
      </c>
    </row>
    <row r="18" spans="1:9" s="38" customFormat="1">
      <c r="A18" s="445">
        <v>5</v>
      </c>
      <c r="B18" s="446">
        <f t="shared" si="6"/>
        <v>36647</v>
      </c>
      <c r="C18" s="25"/>
      <c r="D18" s="26" t="str">
        <f t="shared" si="0"/>
        <v/>
      </c>
      <c r="E18" s="448" t="str">
        <f t="shared" si="1"/>
        <v/>
      </c>
      <c r="F18" s="448" t="str">
        <f t="shared" si="2"/>
        <v/>
      </c>
      <c r="G18" s="448" t="str">
        <f t="shared" si="5"/>
        <v/>
      </c>
      <c r="H18" s="448" t="str">
        <f t="shared" si="3"/>
        <v/>
      </c>
      <c r="I18" s="448" t="str">
        <f t="shared" si="4"/>
        <v>Post-Conversion</v>
      </c>
    </row>
    <row r="19" spans="1:9" s="38" customFormat="1">
      <c r="A19" s="445">
        <v>6</v>
      </c>
      <c r="B19" s="446">
        <f t="shared" si="6"/>
        <v>36678</v>
      </c>
      <c r="C19" s="25"/>
      <c r="D19" s="26" t="str">
        <f t="shared" si="0"/>
        <v/>
      </c>
      <c r="E19" s="448" t="str">
        <f t="shared" si="1"/>
        <v/>
      </c>
      <c r="F19" s="448" t="str">
        <f t="shared" si="2"/>
        <v/>
      </c>
      <c r="G19" s="448" t="str">
        <f t="shared" si="5"/>
        <v/>
      </c>
      <c r="H19" s="448" t="str">
        <f t="shared" si="3"/>
        <v/>
      </c>
      <c r="I19" s="448" t="str">
        <f t="shared" si="4"/>
        <v>Post-Conversion</v>
      </c>
    </row>
    <row r="20" spans="1:9" s="38" customFormat="1">
      <c r="A20" s="445">
        <v>7</v>
      </c>
      <c r="B20" s="446">
        <f t="shared" si="6"/>
        <v>36708</v>
      </c>
      <c r="C20" s="25"/>
      <c r="D20" s="26" t="str">
        <f t="shared" si="0"/>
        <v/>
      </c>
      <c r="E20" s="448" t="str">
        <f t="shared" si="1"/>
        <v/>
      </c>
      <c r="F20" s="448" t="str">
        <f t="shared" si="2"/>
        <v/>
      </c>
      <c r="G20" s="448" t="str">
        <f t="shared" si="5"/>
        <v/>
      </c>
      <c r="H20" s="448" t="str">
        <f t="shared" si="3"/>
        <v/>
      </c>
      <c r="I20" s="448" t="str">
        <f t="shared" si="4"/>
        <v>Post-Conversion</v>
      </c>
    </row>
    <row r="21" spans="1:9" s="38" customFormat="1">
      <c r="A21" s="445">
        <v>8</v>
      </c>
      <c r="B21" s="446">
        <f t="shared" si="6"/>
        <v>36739</v>
      </c>
      <c r="C21" s="25"/>
      <c r="D21" s="26" t="str">
        <f t="shared" si="0"/>
        <v/>
      </c>
      <c r="E21" s="448" t="str">
        <f t="shared" si="1"/>
        <v/>
      </c>
      <c r="F21" s="448" t="str">
        <f t="shared" si="2"/>
        <v/>
      </c>
      <c r="G21" s="448" t="str">
        <f t="shared" si="5"/>
        <v/>
      </c>
      <c r="H21" s="448" t="str">
        <f t="shared" si="3"/>
        <v/>
      </c>
      <c r="I21" s="448" t="str">
        <f>IF($B21&gt;=$D$11,"Post-Conversion",E21-H21)</f>
        <v>Post-Conversion</v>
      </c>
    </row>
    <row r="22" spans="1:9" s="38" customFormat="1">
      <c r="A22" s="445">
        <v>9</v>
      </c>
      <c r="B22" s="446">
        <f t="shared" si="6"/>
        <v>36770</v>
      </c>
      <c r="C22" s="25"/>
      <c r="D22" s="26" t="str">
        <f t="shared" si="0"/>
        <v/>
      </c>
      <c r="E22" s="448" t="str">
        <f t="shared" si="1"/>
        <v/>
      </c>
      <c r="F22" s="448" t="str">
        <f t="shared" si="2"/>
        <v/>
      </c>
      <c r="G22" s="448" t="str">
        <f t="shared" si="5"/>
        <v/>
      </c>
      <c r="H22" s="448" t="str">
        <f t="shared" si="3"/>
        <v/>
      </c>
      <c r="I22" s="448" t="str">
        <f t="shared" ref="I22:I49" si="7">IF($B22&gt;=$D$11,"Post-Conversion",E22-H22)</f>
        <v>Post-Conversion</v>
      </c>
    </row>
    <row r="23" spans="1:9" s="38" customFormat="1">
      <c r="A23" s="445">
        <v>10</v>
      </c>
      <c r="B23" s="446">
        <f t="shared" si="6"/>
        <v>36800</v>
      </c>
      <c r="C23" s="25"/>
      <c r="D23" s="26" t="str">
        <f t="shared" si="0"/>
        <v/>
      </c>
      <c r="E23" s="448" t="str">
        <f t="shared" si="1"/>
        <v/>
      </c>
      <c r="F23" s="448" t="str">
        <f t="shared" si="2"/>
        <v/>
      </c>
      <c r="G23" s="448" t="str">
        <f t="shared" si="5"/>
        <v/>
      </c>
      <c r="H23" s="448" t="str">
        <f t="shared" si="3"/>
        <v/>
      </c>
      <c r="I23" s="448" t="str">
        <f t="shared" si="7"/>
        <v>Post-Conversion</v>
      </c>
    </row>
    <row r="24" spans="1:9" s="38" customFormat="1">
      <c r="A24" s="445">
        <v>11</v>
      </c>
      <c r="B24" s="446">
        <f t="shared" si="6"/>
        <v>36831</v>
      </c>
      <c r="C24" s="25"/>
      <c r="D24" s="26" t="str">
        <f t="shared" si="0"/>
        <v/>
      </c>
      <c r="E24" s="448" t="str">
        <f t="shared" si="1"/>
        <v/>
      </c>
      <c r="F24" s="448" t="str">
        <f t="shared" si="2"/>
        <v/>
      </c>
      <c r="G24" s="448" t="str">
        <f t="shared" si="5"/>
        <v/>
      </c>
      <c r="H24" s="448" t="str">
        <f t="shared" si="3"/>
        <v/>
      </c>
      <c r="I24" s="448" t="str">
        <f t="shared" si="7"/>
        <v>Post-Conversion</v>
      </c>
    </row>
    <row r="25" spans="1:9" s="38" customFormat="1">
      <c r="A25" s="445">
        <v>12</v>
      </c>
      <c r="B25" s="446">
        <f t="shared" si="6"/>
        <v>36861</v>
      </c>
      <c r="C25" s="25"/>
      <c r="D25" s="26" t="str">
        <f t="shared" si="0"/>
        <v/>
      </c>
      <c r="E25" s="448" t="str">
        <f t="shared" si="1"/>
        <v/>
      </c>
      <c r="F25" s="448" t="str">
        <f t="shared" si="2"/>
        <v/>
      </c>
      <c r="G25" s="448" t="str">
        <f t="shared" si="5"/>
        <v/>
      </c>
      <c r="H25" s="448" t="str">
        <f t="shared" si="3"/>
        <v/>
      </c>
      <c r="I25" s="448" t="str">
        <f t="shared" si="7"/>
        <v>Post-Conversion</v>
      </c>
    </row>
    <row r="26" spans="1:9" s="38" customFormat="1" hidden="1" outlineLevel="1">
      <c r="A26" s="445">
        <v>13</v>
      </c>
      <c r="B26" s="446">
        <f t="shared" si="6"/>
        <v>36892</v>
      </c>
      <c r="C26" s="447"/>
      <c r="D26" s="26" t="str">
        <f t="shared" si="0"/>
        <v/>
      </c>
      <c r="E26" s="448" t="str">
        <f t="shared" si="1"/>
        <v/>
      </c>
      <c r="F26" s="448" t="str">
        <f t="shared" si="2"/>
        <v/>
      </c>
      <c r="G26" s="448" t="str">
        <f t="shared" si="5"/>
        <v/>
      </c>
      <c r="H26" s="448" t="str">
        <f t="shared" si="3"/>
        <v/>
      </c>
      <c r="I26" s="448" t="str">
        <f t="shared" si="7"/>
        <v>Post-Conversion</v>
      </c>
    </row>
    <row r="27" spans="1:9" s="38" customFormat="1" hidden="1" outlineLevel="1">
      <c r="A27" s="445">
        <v>14</v>
      </c>
      <c r="B27" s="446">
        <f t="shared" si="6"/>
        <v>36923</v>
      </c>
      <c r="C27" s="447"/>
      <c r="D27" s="26" t="str">
        <f t="shared" si="0"/>
        <v/>
      </c>
      <c r="E27" s="448" t="str">
        <f t="shared" si="1"/>
        <v/>
      </c>
      <c r="F27" s="448" t="str">
        <f t="shared" si="2"/>
        <v/>
      </c>
      <c r="G27" s="448" t="str">
        <f t="shared" si="5"/>
        <v/>
      </c>
      <c r="H27" s="448" t="str">
        <f t="shared" si="3"/>
        <v/>
      </c>
      <c r="I27" s="448" t="str">
        <f t="shared" si="7"/>
        <v>Post-Conversion</v>
      </c>
    </row>
    <row r="28" spans="1:9" s="38" customFormat="1" hidden="1" outlineLevel="1">
      <c r="A28" s="445">
        <v>15</v>
      </c>
      <c r="B28" s="446">
        <f t="shared" si="6"/>
        <v>36951</v>
      </c>
      <c r="C28" s="447"/>
      <c r="D28" s="26" t="str">
        <f t="shared" si="0"/>
        <v/>
      </c>
      <c r="E28" s="448" t="str">
        <f t="shared" si="1"/>
        <v/>
      </c>
      <c r="F28" s="448" t="str">
        <f t="shared" si="2"/>
        <v/>
      </c>
      <c r="G28" s="448" t="str">
        <f t="shared" si="5"/>
        <v/>
      </c>
      <c r="H28" s="448" t="str">
        <f t="shared" si="3"/>
        <v/>
      </c>
      <c r="I28" s="448" t="str">
        <f t="shared" si="7"/>
        <v>Post-Conversion</v>
      </c>
    </row>
    <row r="29" spans="1:9" s="38" customFormat="1" hidden="1" outlineLevel="1">
      <c r="A29" s="445">
        <v>16</v>
      </c>
      <c r="B29" s="446">
        <f t="shared" si="6"/>
        <v>36982</v>
      </c>
      <c r="C29" s="447"/>
      <c r="D29" s="26" t="str">
        <f t="shared" si="0"/>
        <v/>
      </c>
      <c r="E29" s="448" t="str">
        <f t="shared" si="1"/>
        <v/>
      </c>
      <c r="F29" s="448" t="str">
        <f t="shared" si="2"/>
        <v/>
      </c>
      <c r="G29" s="448" t="str">
        <f t="shared" si="5"/>
        <v/>
      </c>
      <c r="H29" s="448" t="str">
        <f t="shared" si="3"/>
        <v/>
      </c>
      <c r="I29" s="448" t="str">
        <f t="shared" si="7"/>
        <v>Post-Conversion</v>
      </c>
    </row>
    <row r="30" spans="1:9" s="38" customFormat="1" hidden="1" outlineLevel="1">
      <c r="A30" s="445">
        <v>17</v>
      </c>
      <c r="B30" s="446">
        <f t="shared" si="6"/>
        <v>37012</v>
      </c>
      <c r="C30" s="447"/>
      <c r="D30" s="26" t="str">
        <f t="shared" si="0"/>
        <v/>
      </c>
      <c r="E30" s="448" t="str">
        <f t="shared" si="1"/>
        <v/>
      </c>
      <c r="F30" s="448" t="str">
        <f t="shared" si="2"/>
        <v/>
      </c>
      <c r="G30" s="448" t="str">
        <f t="shared" si="5"/>
        <v/>
      </c>
      <c r="H30" s="448" t="str">
        <f t="shared" si="3"/>
        <v/>
      </c>
      <c r="I30" s="448" t="str">
        <f t="shared" si="7"/>
        <v>Post-Conversion</v>
      </c>
    </row>
    <row r="31" spans="1:9" s="38" customFormat="1" hidden="1" outlineLevel="1">
      <c r="A31" s="445">
        <v>18</v>
      </c>
      <c r="B31" s="446">
        <f t="shared" si="6"/>
        <v>37043</v>
      </c>
      <c r="C31" s="447"/>
      <c r="D31" s="26" t="str">
        <f t="shared" si="0"/>
        <v/>
      </c>
      <c r="E31" s="448" t="str">
        <f t="shared" si="1"/>
        <v/>
      </c>
      <c r="F31" s="448" t="str">
        <f t="shared" si="2"/>
        <v/>
      </c>
      <c r="G31" s="448" t="str">
        <f t="shared" si="5"/>
        <v/>
      </c>
      <c r="H31" s="448" t="str">
        <f t="shared" si="3"/>
        <v/>
      </c>
      <c r="I31" s="448" t="str">
        <f t="shared" si="7"/>
        <v>Post-Conversion</v>
      </c>
    </row>
    <row r="32" spans="1:9" s="38" customFormat="1" hidden="1" outlineLevel="1">
      <c r="A32" s="445">
        <v>19</v>
      </c>
      <c r="B32" s="446">
        <f t="shared" si="6"/>
        <v>37073</v>
      </c>
      <c r="C32" s="447"/>
      <c r="D32" s="26" t="str">
        <f t="shared" si="0"/>
        <v/>
      </c>
      <c r="E32" s="448" t="str">
        <f t="shared" si="1"/>
        <v/>
      </c>
      <c r="F32" s="448" t="str">
        <f t="shared" si="2"/>
        <v/>
      </c>
      <c r="G32" s="448" t="str">
        <f t="shared" si="5"/>
        <v/>
      </c>
      <c r="H32" s="448" t="str">
        <f t="shared" si="3"/>
        <v/>
      </c>
      <c r="I32" s="448" t="str">
        <f t="shared" si="7"/>
        <v>Post-Conversion</v>
      </c>
    </row>
    <row r="33" spans="1:9" s="38" customFormat="1" hidden="1" outlineLevel="1">
      <c r="A33" s="445">
        <v>20</v>
      </c>
      <c r="B33" s="446">
        <f t="shared" si="6"/>
        <v>37104</v>
      </c>
      <c r="C33" s="447"/>
      <c r="D33" s="26" t="str">
        <f t="shared" si="0"/>
        <v/>
      </c>
      <c r="E33" s="448" t="str">
        <f t="shared" si="1"/>
        <v/>
      </c>
      <c r="F33" s="448" t="str">
        <f t="shared" si="2"/>
        <v/>
      </c>
      <c r="G33" s="448" t="str">
        <f t="shared" si="5"/>
        <v/>
      </c>
      <c r="H33" s="448" t="str">
        <f t="shared" si="3"/>
        <v/>
      </c>
      <c r="I33" s="448" t="str">
        <f t="shared" si="7"/>
        <v>Post-Conversion</v>
      </c>
    </row>
    <row r="34" spans="1:9" s="38" customFormat="1" hidden="1" outlineLevel="1">
      <c r="A34" s="445">
        <v>21</v>
      </c>
      <c r="B34" s="446">
        <f t="shared" si="6"/>
        <v>37135</v>
      </c>
      <c r="C34" s="447"/>
      <c r="D34" s="26" t="str">
        <f t="shared" si="0"/>
        <v/>
      </c>
      <c r="E34" s="448" t="str">
        <f t="shared" si="1"/>
        <v/>
      </c>
      <c r="F34" s="448" t="str">
        <f t="shared" si="2"/>
        <v/>
      </c>
      <c r="G34" s="448" t="str">
        <f t="shared" si="5"/>
        <v/>
      </c>
      <c r="H34" s="448" t="str">
        <f t="shared" si="3"/>
        <v/>
      </c>
      <c r="I34" s="448" t="str">
        <f t="shared" si="7"/>
        <v>Post-Conversion</v>
      </c>
    </row>
    <row r="35" spans="1:9" s="38" customFormat="1" hidden="1" outlineLevel="1">
      <c r="A35" s="445">
        <v>22</v>
      </c>
      <c r="B35" s="446">
        <f t="shared" si="6"/>
        <v>37165</v>
      </c>
      <c r="C35" s="447"/>
      <c r="D35" s="26" t="str">
        <f t="shared" si="0"/>
        <v/>
      </c>
      <c r="E35" s="448" t="str">
        <f t="shared" si="1"/>
        <v/>
      </c>
      <c r="F35" s="448" t="str">
        <f t="shared" si="2"/>
        <v/>
      </c>
      <c r="G35" s="448" t="str">
        <f t="shared" si="5"/>
        <v/>
      </c>
      <c r="H35" s="448" t="str">
        <f t="shared" si="3"/>
        <v/>
      </c>
      <c r="I35" s="448" t="str">
        <f t="shared" si="7"/>
        <v>Post-Conversion</v>
      </c>
    </row>
    <row r="36" spans="1:9" s="38" customFormat="1" hidden="1" outlineLevel="1">
      <c r="A36" s="445">
        <v>23</v>
      </c>
      <c r="B36" s="446">
        <f t="shared" si="6"/>
        <v>37196</v>
      </c>
      <c r="C36" s="447"/>
      <c r="D36" s="26" t="str">
        <f t="shared" si="0"/>
        <v/>
      </c>
      <c r="E36" s="448" t="str">
        <f t="shared" si="1"/>
        <v/>
      </c>
      <c r="F36" s="448" t="str">
        <f t="shared" si="2"/>
        <v/>
      </c>
      <c r="G36" s="448" t="str">
        <f t="shared" si="5"/>
        <v/>
      </c>
      <c r="H36" s="448" t="str">
        <f t="shared" si="3"/>
        <v/>
      </c>
      <c r="I36" s="448" t="str">
        <f t="shared" si="7"/>
        <v>Post-Conversion</v>
      </c>
    </row>
    <row r="37" spans="1:9" s="38" customFormat="1" hidden="1" outlineLevel="1">
      <c r="A37" s="445">
        <v>24</v>
      </c>
      <c r="B37" s="446">
        <f t="shared" si="6"/>
        <v>37226</v>
      </c>
      <c r="C37" s="447"/>
      <c r="D37" s="26" t="str">
        <f t="shared" si="0"/>
        <v/>
      </c>
      <c r="E37" s="448" t="str">
        <f t="shared" si="1"/>
        <v/>
      </c>
      <c r="F37" s="448" t="str">
        <f t="shared" si="2"/>
        <v/>
      </c>
      <c r="G37" s="448" t="str">
        <f t="shared" si="5"/>
        <v/>
      </c>
      <c r="H37" s="448" t="str">
        <f t="shared" si="3"/>
        <v/>
      </c>
      <c r="I37" s="448" t="str">
        <f t="shared" si="7"/>
        <v>Post-Conversion</v>
      </c>
    </row>
    <row r="38" spans="1:9" s="38" customFormat="1" hidden="1" outlineLevel="1">
      <c r="A38" s="445">
        <v>25</v>
      </c>
      <c r="B38" s="446">
        <f t="shared" si="6"/>
        <v>37257</v>
      </c>
      <c r="C38" s="447"/>
      <c r="D38" s="26" t="str">
        <f t="shared" si="0"/>
        <v/>
      </c>
      <c r="E38" s="448" t="str">
        <f t="shared" si="1"/>
        <v/>
      </c>
      <c r="F38" s="448" t="str">
        <f t="shared" si="2"/>
        <v/>
      </c>
      <c r="G38" s="448" t="str">
        <f t="shared" si="5"/>
        <v/>
      </c>
      <c r="H38" s="448" t="str">
        <f t="shared" si="3"/>
        <v/>
      </c>
      <c r="I38" s="448" t="str">
        <f t="shared" si="7"/>
        <v>Post-Conversion</v>
      </c>
    </row>
    <row r="39" spans="1:9" s="38" customFormat="1" hidden="1" outlineLevel="1">
      <c r="A39" s="445">
        <v>26</v>
      </c>
      <c r="B39" s="446">
        <f t="shared" si="6"/>
        <v>37288</v>
      </c>
      <c r="C39" s="447"/>
      <c r="D39" s="26" t="str">
        <f t="shared" si="0"/>
        <v/>
      </c>
      <c r="E39" s="448" t="str">
        <f t="shared" si="1"/>
        <v/>
      </c>
      <c r="F39" s="448" t="str">
        <f t="shared" si="2"/>
        <v/>
      </c>
      <c r="G39" s="448" t="str">
        <f t="shared" si="5"/>
        <v/>
      </c>
      <c r="H39" s="448" t="str">
        <f t="shared" si="3"/>
        <v/>
      </c>
      <c r="I39" s="448" t="str">
        <f t="shared" si="7"/>
        <v>Post-Conversion</v>
      </c>
    </row>
    <row r="40" spans="1:9" s="38" customFormat="1" hidden="1" outlineLevel="1">
      <c r="A40" s="445">
        <v>27</v>
      </c>
      <c r="B40" s="446">
        <f t="shared" si="6"/>
        <v>37316</v>
      </c>
      <c r="C40" s="447"/>
      <c r="D40" s="26" t="str">
        <f t="shared" si="0"/>
        <v/>
      </c>
      <c r="E40" s="448" t="str">
        <f t="shared" si="1"/>
        <v/>
      </c>
      <c r="F40" s="448" t="str">
        <f t="shared" si="2"/>
        <v/>
      </c>
      <c r="G40" s="448" t="str">
        <f t="shared" si="5"/>
        <v/>
      </c>
      <c r="H40" s="448" t="str">
        <f t="shared" si="3"/>
        <v/>
      </c>
      <c r="I40" s="448" t="str">
        <f t="shared" si="7"/>
        <v>Post-Conversion</v>
      </c>
    </row>
    <row r="41" spans="1:9" s="38" customFormat="1" hidden="1" outlineLevel="1">
      <c r="A41" s="445">
        <v>28</v>
      </c>
      <c r="B41" s="446">
        <f t="shared" si="6"/>
        <v>37347</v>
      </c>
      <c r="C41" s="447"/>
      <c r="D41" s="26" t="str">
        <f t="shared" si="0"/>
        <v/>
      </c>
      <c r="E41" s="448" t="str">
        <f t="shared" si="1"/>
        <v/>
      </c>
      <c r="F41" s="448" t="str">
        <f t="shared" si="2"/>
        <v/>
      </c>
      <c r="G41" s="448" t="str">
        <f t="shared" si="5"/>
        <v/>
      </c>
      <c r="H41" s="448" t="str">
        <f t="shared" si="3"/>
        <v/>
      </c>
      <c r="I41" s="448" t="str">
        <f t="shared" si="7"/>
        <v>Post-Conversion</v>
      </c>
    </row>
    <row r="42" spans="1:9" s="38" customFormat="1" hidden="1" outlineLevel="1">
      <c r="A42" s="445">
        <v>29</v>
      </c>
      <c r="B42" s="446">
        <f t="shared" si="6"/>
        <v>37377</v>
      </c>
      <c r="C42" s="447"/>
      <c r="D42" s="26" t="str">
        <f t="shared" si="0"/>
        <v/>
      </c>
      <c r="E42" s="448" t="str">
        <f t="shared" si="1"/>
        <v/>
      </c>
      <c r="F42" s="448" t="str">
        <f t="shared" si="2"/>
        <v/>
      </c>
      <c r="G42" s="448" t="str">
        <f t="shared" si="5"/>
        <v/>
      </c>
      <c r="H42" s="448" t="str">
        <f t="shared" si="3"/>
        <v/>
      </c>
      <c r="I42" s="448" t="str">
        <f t="shared" si="7"/>
        <v>Post-Conversion</v>
      </c>
    </row>
    <row r="43" spans="1:9" s="38" customFormat="1" hidden="1" outlineLevel="1">
      <c r="A43" s="445">
        <v>30</v>
      </c>
      <c r="B43" s="446">
        <f t="shared" si="6"/>
        <v>37408</v>
      </c>
      <c r="C43" s="447"/>
      <c r="D43" s="26" t="str">
        <f t="shared" si="0"/>
        <v/>
      </c>
      <c r="E43" s="448" t="str">
        <f t="shared" si="1"/>
        <v/>
      </c>
      <c r="F43" s="448" t="str">
        <f t="shared" si="2"/>
        <v/>
      </c>
      <c r="G43" s="448" t="str">
        <f t="shared" si="5"/>
        <v/>
      </c>
      <c r="H43" s="448" t="str">
        <f t="shared" si="3"/>
        <v/>
      </c>
      <c r="I43" s="448" t="str">
        <f t="shared" si="7"/>
        <v>Post-Conversion</v>
      </c>
    </row>
    <row r="44" spans="1:9" s="38" customFormat="1" hidden="1" outlineLevel="1">
      <c r="A44" s="445">
        <v>31</v>
      </c>
      <c r="B44" s="446">
        <f t="shared" si="6"/>
        <v>37438</v>
      </c>
      <c r="C44" s="447"/>
      <c r="D44" s="26" t="str">
        <f t="shared" si="0"/>
        <v/>
      </c>
      <c r="E44" s="448" t="str">
        <f t="shared" si="1"/>
        <v/>
      </c>
      <c r="F44" s="448" t="str">
        <f t="shared" si="2"/>
        <v/>
      </c>
      <c r="G44" s="448" t="str">
        <f t="shared" si="5"/>
        <v/>
      </c>
      <c r="H44" s="448" t="str">
        <f t="shared" si="3"/>
        <v/>
      </c>
      <c r="I44" s="448" t="str">
        <f t="shared" si="7"/>
        <v>Post-Conversion</v>
      </c>
    </row>
    <row r="45" spans="1:9" s="38" customFormat="1" hidden="1" outlineLevel="1">
      <c r="A45" s="445">
        <v>32</v>
      </c>
      <c r="B45" s="446">
        <f t="shared" si="6"/>
        <v>37469</v>
      </c>
      <c r="C45" s="447"/>
      <c r="D45" s="26" t="str">
        <f t="shared" si="0"/>
        <v/>
      </c>
      <c r="E45" s="448" t="str">
        <f t="shared" si="1"/>
        <v/>
      </c>
      <c r="F45" s="448" t="str">
        <f t="shared" si="2"/>
        <v/>
      </c>
      <c r="G45" s="448" t="str">
        <f t="shared" si="5"/>
        <v/>
      </c>
      <c r="H45" s="448" t="str">
        <f t="shared" si="3"/>
        <v/>
      </c>
      <c r="I45" s="448" t="str">
        <f t="shared" si="7"/>
        <v>Post-Conversion</v>
      </c>
    </row>
    <row r="46" spans="1:9" s="38" customFormat="1" hidden="1" outlineLevel="1">
      <c r="A46" s="445">
        <v>33</v>
      </c>
      <c r="B46" s="446">
        <f t="shared" si="6"/>
        <v>37500</v>
      </c>
      <c r="C46" s="447"/>
      <c r="D46" s="26" t="str">
        <f t="shared" si="0"/>
        <v/>
      </c>
      <c r="E46" s="448" t="str">
        <f t="shared" si="1"/>
        <v/>
      </c>
      <c r="F46" s="448" t="str">
        <f t="shared" si="2"/>
        <v/>
      </c>
      <c r="G46" s="448" t="str">
        <f t="shared" si="5"/>
        <v/>
      </c>
      <c r="H46" s="448" t="str">
        <f t="shared" si="3"/>
        <v/>
      </c>
      <c r="I46" s="448" t="str">
        <f t="shared" si="7"/>
        <v>Post-Conversion</v>
      </c>
    </row>
    <row r="47" spans="1:9" s="38" customFormat="1" hidden="1" outlineLevel="1">
      <c r="A47" s="445">
        <v>34</v>
      </c>
      <c r="B47" s="446">
        <f t="shared" si="6"/>
        <v>37530</v>
      </c>
      <c r="C47" s="447"/>
      <c r="D47" s="26" t="str">
        <f t="shared" si="0"/>
        <v/>
      </c>
      <c r="E47" s="448" t="str">
        <f t="shared" si="1"/>
        <v/>
      </c>
      <c r="F47" s="448" t="str">
        <f t="shared" si="2"/>
        <v/>
      </c>
      <c r="G47" s="448" t="str">
        <f t="shared" si="5"/>
        <v/>
      </c>
      <c r="H47" s="448" t="str">
        <f t="shared" si="3"/>
        <v/>
      </c>
      <c r="I47" s="448" t="str">
        <f t="shared" si="7"/>
        <v>Post-Conversion</v>
      </c>
    </row>
    <row r="48" spans="1:9" s="38" customFormat="1" hidden="1" outlineLevel="1">
      <c r="A48" s="445">
        <v>35</v>
      </c>
      <c r="B48" s="446">
        <f t="shared" si="6"/>
        <v>37561</v>
      </c>
      <c r="C48" s="447"/>
      <c r="D48" s="26" t="str">
        <f t="shared" si="0"/>
        <v/>
      </c>
      <c r="E48" s="448" t="str">
        <f t="shared" si="1"/>
        <v/>
      </c>
      <c r="F48" s="448" t="str">
        <f t="shared" si="2"/>
        <v/>
      </c>
      <c r="G48" s="448" t="str">
        <f t="shared" si="5"/>
        <v/>
      </c>
      <c r="H48" s="448" t="str">
        <f t="shared" si="3"/>
        <v/>
      </c>
      <c r="I48" s="448" t="str">
        <f t="shared" si="7"/>
        <v>Post-Conversion</v>
      </c>
    </row>
    <row r="49" spans="1:9" s="38" customFormat="1" hidden="1" outlineLevel="1">
      <c r="A49" s="445">
        <v>36</v>
      </c>
      <c r="B49" s="446">
        <f t="shared" si="6"/>
        <v>37591</v>
      </c>
      <c r="C49" s="447"/>
      <c r="D49" s="26" t="str">
        <f t="shared" si="0"/>
        <v/>
      </c>
      <c r="E49" s="448" t="str">
        <f t="shared" si="1"/>
        <v/>
      </c>
      <c r="F49" s="448" t="str">
        <f t="shared" si="2"/>
        <v/>
      </c>
      <c r="G49" s="448" t="str">
        <f t="shared" si="5"/>
        <v/>
      </c>
      <c r="H49" s="448" t="str">
        <f t="shared" si="3"/>
        <v/>
      </c>
      <c r="I49" s="448" t="str">
        <f t="shared" si="7"/>
        <v>Post-Conversion</v>
      </c>
    </row>
    <row r="50" spans="1:9" collapsed="1"/>
  </sheetData>
  <sheetProtection algorithmName="SHA-512" hashValue="nKQUt/8qVhBhoFXu3O/3XzPgAeriP5bbVMe5fcYvBVHi+wLvJ23Mh4ultOm2KCaLmU/gAY/qPCvsIxEcnYJfDw==" saltValue="zGkUzfTx0odS6c0Fv73RjQ==" spinCount="100000" sheet="1" objects="1" scenarios="1" selectLockedCells="1"/>
  <mergeCells count="1">
    <mergeCell ref="B1:I1"/>
  </mergeCells>
  <dataValidations count="2">
    <dataValidation type="whole" allowBlank="1" showInputMessage="1" showErrorMessage="1" sqref="C14:C49" xr:uid="{23FC4813-A5DE-4194-B669-5DC8D72977FF}">
      <formula1>0</formula1>
      <formula2>Units</formula2>
    </dataValidation>
    <dataValidation type="list" allowBlank="1" showInputMessage="1" showErrorMessage="1" sqref="D8" xr:uid="{B58C83CE-BAE5-4190-A59C-D36CD1739ECB}">
      <formula1>"Break Even,Delivery,Conversion"</formula1>
    </dataValidation>
  </dataValidations>
  <printOptions horizontalCentered="1"/>
  <pageMargins left="0.5" right="0.5" top="0.5" bottom="0.5" header="0.5" footer="0.5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6087-DEB6-4A8F-9B0E-989B799F8B7E}">
  <dimension ref="A3:A5"/>
  <sheetViews>
    <sheetView workbookViewId="0"/>
  </sheetViews>
  <sheetFormatPr defaultRowHeight="12.75"/>
  <sheetData>
    <row r="3" spans="1:1">
      <c r="A3" s="1" t="s">
        <v>412</v>
      </c>
    </row>
    <row r="4" spans="1:1">
      <c r="A4" s="1" t="s">
        <v>413</v>
      </c>
    </row>
    <row r="5" spans="1:1">
      <c r="A5" s="1" t="s">
        <v>414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225D0088238F478CDE1C4C679912CF" ma:contentTypeVersion="16" ma:contentTypeDescription="Create a new document." ma:contentTypeScope="" ma:versionID="ab0e562d34a4b2fd248172bc29e9cb4e">
  <xsd:schema xmlns:xsd="http://www.w3.org/2001/XMLSchema" xmlns:xs="http://www.w3.org/2001/XMLSchema" xmlns:p="http://schemas.microsoft.com/office/2006/metadata/properties" xmlns:ns2="963ba512-8cdb-4ca3-87a1-ebc8f4aa9062" xmlns:ns3="f5195168-c8d6-4334-ad12-81320f68e944" targetNamespace="http://schemas.microsoft.com/office/2006/metadata/properties" ma:root="true" ma:fieldsID="22218ee715438de6f6a82aa58df73b86" ns2:_="" ns3:_="">
    <xsd:import namespace="963ba512-8cdb-4ca3-87a1-ebc8f4aa9062"/>
    <xsd:import namespace="f5195168-c8d6-4334-ad12-81320f68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ba512-8cdb-4ca3-87a1-ebc8f4aa90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cbee216-abea-4688-96e6-4a6e783461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95168-c8d6-4334-ad12-81320f68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32bf7fb-218e-4573-a325-474cedfba608}" ma:internalName="TaxCatchAll" ma:showField="CatchAllData" ma:web="f5195168-c8d6-4334-ad12-81320f68e9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47C15B-1F16-4950-88C9-0231DBB3E0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ba512-8cdb-4ca3-87a1-ebc8f4aa9062"/>
    <ds:schemaRef ds:uri="f5195168-c8d6-4334-ad12-81320f68e9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EE84AB-9617-4AB3-BEAB-7AD021C1F6E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28</vt:i4>
      </vt:variant>
    </vt:vector>
  </HeadingPairs>
  <TitlesOfParts>
    <vt:vector size="37" baseType="lpstr">
      <vt:lpstr>1)Summary &amp; Gap</vt:lpstr>
      <vt:lpstr>2)Units&amp;Revenue</vt:lpstr>
      <vt:lpstr>3)Operating Budget</vt:lpstr>
      <vt:lpstr>4)20 Yr Projection</vt:lpstr>
      <vt:lpstr>5)Dev Budget</vt:lpstr>
      <vt:lpstr>6)TC Equity</vt:lpstr>
      <vt:lpstr>7)Const Cash Flow</vt:lpstr>
      <vt:lpstr>8)Lease-Up</vt:lpstr>
      <vt:lpstr>Validations</vt:lpstr>
      <vt:lpstr>DDF</vt:lpstr>
      <vt:lpstr>Developer</vt:lpstr>
      <vt:lpstr>Equity</vt:lpstr>
      <vt:lpstr>Gap</vt:lpstr>
      <vt:lpstr>HOME</vt:lpstr>
      <vt:lpstr>MktUnits</vt:lpstr>
      <vt:lpstr>'1)Summary &amp; Gap'!Print_Area</vt:lpstr>
      <vt:lpstr>'2)Units&amp;Revenue'!Print_Area</vt:lpstr>
      <vt:lpstr>'3)Operating Budget'!Print_Area</vt:lpstr>
      <vt:lpstr>'5)Dev Budget'!Print_Area</vt:lpstr>
      <vt:lpstr>'7)Const Cash Flow'!Print_Area</vt:lpstr>
      <vt:lpstr>'4)20 Yr Projection'!Print_Titles</vt:lpstr>
      <vt:lpstr>'7)Const Cash Flow'!Print_Titles</vt:lpstr>
      <vt:lpstr>Project</vt:lpstr>
      <vt:lpstr>Rents</vt:lpstr>
      <vt:lpstr>SqFt</vt:lpstr>
      <vt:lpstr>TDC</vt:lpstr>
      <vt:lpstr>UA0B</vt:lpstr>
      <vt:lpstr>UA1B</vt:lpstr>
      <vt:lpstr>UA2B</vt:lpstr>
      <vt:lpstr>UA3B</vt:lpstr>
      <vt:lpstr>UA4B</vt:lpstr>
      <vt:lpstr>UAFour</vt:lpstr>
      <vt:lpstr>UAOne</vt:lpstr>
      <vt:lpstr>UAThree</vt:lpstr>
      <vt:lpstr>UATwo</vt:lpstr>
      <vt:lpstr>UAZero</vt:lpstr>
      <vt:lpstr>Units</vt:lpstr>
    </vt:vector>
  </TitlesOfParts>
  <Manager/>
  <Company>State of Michigan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Lathom</dc:creator>
  <cp:keywords/>
  <dc:description/>
  <cp:lastModifiedBy>Nikki Drake</cp:lastModifiedBy>
  <cp:revision/>
  <dcterms:created xsi:type="dcterms:W3CDTF">2008-11-27T20:23:46Z</dcterms:created>
  <dcterms:modified xsi:type="dcterms:W3CDTF">2024-10-09T18:34:11Z</dcterms:modified>
  <cp:category/>
  <cp:contentStatus/>
</cp:coreProperties>
</file>